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e8d38957d63b6712/Documents/!Standards/RAIN RFID/WG Application ID/RAIN IAC/"/>
    </mc:Choice>
  </mc:AlternateContent>
  <xr:revisionPtr revIDLastSave="328" documentId="13_ncr:1_{B326B150-B666-42EB-B9D4-972AC024398D}" xr6:coauthVersionLast="47" xr6:coauthVersionMax="47" xr10:uidLastSave="{852D0526-B9A2-4DD5-B2C9-749A84940749}"/>
  <bookViews>
    <workbookView xWindow="24" yWindow="0" windowWidth="16236" windowHeight="11928" activeTab="1" xr2:uid="{00000000-000D-0000-FFFF-FFFF00000000}"/>
  </bookViews>
  <sheets>
    <sheet name="Instructions" sheetId="2" r:id="rId1"/>
    <sheet name="Too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 l="1"/>
  <c r="H31" i="1" s="1"/>
  <c r="C32" i="1"/>
  <c r="H32" i="1" s="1"/>
  <c r="C30" i="1"/>
  <c r="H30" i="1" s="1"/>
  <c r="D28" i="1"/>
  <c r="H28" i="1" s="1"/>
  <c r="D29" i="1"/>
  <c r="H29" i="1" s="1"/>
  <c r="D30" i="1"/>
  <c r="D31" i="1"/>
  <c r="I31" i="1" s="1"/>
  <c r="D32" i="1"/>
  <c r="I32" i="1" s="1"/>
  <c r="D27" i="1"/>
  <c r="H27" i="1" s="1"/>
  <c r="E25" i="1"/>
  <c r="E26" i="1"/>
  <c r="H26" i="1" s="1"/>
  <c r="M26" i="1" s="1"/>
  <c r="E27" i="1"/>
  <c r="I27" i="1" s="1"/>
  <c r="E28" i="1"/>
  <c r="I28" i="1" s="1"/>
  <c r="E29" i="1"/>
  <c r="E30" i="1"/>
  <c r="J30" i="1" s="1"/>
  <c r="E31" i="1"/>
  <c r="J31" i="1" s="1"/>
  <c r="E32" i="1"/>
  <c r="I30" i="1"/>
  <c r="J32" i="1"/>
  <c r="I29" i="1"/>
  <c r="J28" i="1"/>
  <c r="F26" i="1"/>
  <c r="I26" i="1" s="1"/>
  <c r="F25" i="1"/>
  <c r="I25" i="1" s="1"/>
  <c r="H25" i="1"/>
  <c r="M25" i="1" s="1"/>
  <c r="E24" i="1"/>
  <c r="H24" i="1" s="1"/>
  <c r="F23" i="1"/>
  <c r="H23" i="1" s="1"/>
  <c r="M23" i="1" s="1"/>
  <c r="F22" i="1"/>
  <c r="H22" i="1" s="1"/>
  <c r="M22" i="1" s="1"/>
  <c r="F21" i="1"/>
  <c r="H21" i="1" s="1"/>
  <c r="M21" i="1" s="1"/>
  <c r="K8" i="1"/>
  <c r="G8" i="1" s="1"/>
  <c r="G9" i="1"/>
  <c r="M28" i="1" l="1"/>
  <c r="F10" i="1" a="1"/>
  <c r="F10" i="1" s="1"/>
  <c r="D15" i="1" l="1"/>
  <c r="M16" i="1"/>
  <c r="M14" i="1"/>
  <c r="B1" i="1" a="1"/>
  <c r="B1" i="1" s="1"/>
  <c r="H9" i="1"/>
  <c r="L8" i="1" s="1"/>
  <c r="H8" i="1"/>
  <c r="F32" i="1"/>
  <c r="K32" i="1" s="1"/>
  <c r="M32" i="1" s="1"/>
  <c r="F31" i="1"/>
  <c r="K31" i="1" s="1"/>
  <c r="M31" i="1" s="1"/>
  <c r="F30" i="1"/>
  <c r="K30" i="1" s="1"/>
  <c r="M30" i="1" s="1"/>
  <c r="F29" i="1"/>
  <c r="J29" i="1" s="1"/>
  <c r="M29" i="1" s="1"/>
  <c r="F28" i="1"/>
  <c r="F27" i="1"/>
  <c r="J27" i="1" s="1"/>
  <c r="M27" i="1" s="1"/>
  <c r="F24" i="1"/>
  <c r="I24" i="1" s="1"/>
  <c r="M24" i="1" s="1"/>
  <c r="B2" i="1" l="1"/>
  <c r="A1" i="2" s="1"/>
  <c r="H10" i="1"/>
  <c r="I15" i="1" s="1"/>
  <c r="G10" i="1"/>
  <c r="I9" i="1" l="1"/>
  <c r="I8" i="1" s="1"/>
  <c r="J15" i="1"/>
  <c r="I1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<sst xmlns="http://schemas.openxmlformats.org/spreadsheetml/2006/main" count="90" uniqueCount="70">
  <si>
    <t>XRA CIN</t>
  </si>
  <si>
    <t>XRA CIN in binary (7-bit blocks)</t>
  </si>
  <si>
    <t>Encoding</t>
  </si>
  <si>
    <t>Bits</t>
  </si>
  <si>
    <t>Words</t>
  </si>
  <si>
    <t>Use uppercase hex, "0" to "9" and "A" to "F".</t>
  </si>
  <si>
    <t>0</t>
  </si>
  <si>
    <t>10101110 XI(x)</t>
  </si>
  <si>
    <t>Encoding length</t>
  </si>
  <si>
    <t>Padded with zeros to the next word boundary</t>
  </si>
  <si>
    <t>Introduction</t>
  </si>
  <si>
    <t>This spreadsheet provides a tool for the encoding and decoding of the RAIN Alliance number.</t>
  </si>
  <si>
    <t>The RAIN Alliance number uses the RAIN Alliance Company Identification Number (CIN) to store application specific data in a RAIN tag in a standards compliant manner.  Proprietary applications should use this method to gain immunity against tag clutter and make it easy to SELECTfilter it own tags.</t>
  </si>
  <si>
    <t>The tool has 3 parts:</t>
  </si>
  <si>
    <t>1. The encoding.</t>
  </si>
  <si>
    <t>2. The decoding.</t>
  </si>
  <si>
    <t>3. The details of the encoding of the RAIN Alliance CIN when used with the RAIN Alliance Number.  Note, the RAIN Alliance CIN may be used with all ISO barcode and RFID standards, however, the encoding rules of those standards shall be used.  Examples are ISO/IEC 15434, ISO/IEC 1736x and ISO/IEC 20248.</t>
  </si>
  <si>
    <t>RAIN Alliance CIN:</t>
  </si>
  <si>
    <t>The input values for the encoding are:</t>
  </si>
  <si>
    <r>
      <t xml:space="preserve">The </t>
    </r>
    <r>
      <rPr>
        <u/>
        <sz val="11"/>
        <color theme="1"/>
        <rFont val="Calibri"/>
        <family val="2"/>
        <scheme val="minor"/>
      </rPr>
      <t>RAIN Alliance CIN</t>
    </r>
    <r>
      <rPr>
        <sz val="11"/>
        <color theme="1"/>
        <rFont val="Calibri"/>
        <family val="2"/>
        <scheme val="minor"/>
      </rPr>
      <t xml:space="preserve">
which is a 2-, 4-, 6- or 8-digit number.</t>
    </r>
  </si>
  <si>
    <t>MB01 encoding</t>
  </si>
  <si>
    <t>UII words</t>
  </si>
  <si>
    <t>Details of the RAIN Alliance (XRA) CIN encoding</t>
  </si>
  <si>
    <t>The tool calculates the encoding of the PC word and the UII (note the UII is the ISO term for the EPC).  The encoding is shown in uppercase hex.  It must be used as-is to program the tag PC word and UII.</t>
  </si>
  <si>
    <t>The other parts of the encoding blocks shows the UII length calculation and the bits of the PC word.</t>
  </si>
  <si>
    <t>Decoding</t>
  </si>
  <si>
    <t>To decode the RAIN Alliance Number enter the PC word and
the UII using uppercase hex in the indicated cells.  The tool
check for the correct RAIN Alliance Number AFI (0xAE).</t>
  </si>
  <si>
    <t>The tool decodes the UII and show the RAIN
Alliance CIN as a 2-, 4-, 6- or 8-digit number, and
the application specific data in uppercase hex.</t>
  </si>
  <si>
    <t>It is important to note that the Protocol Control (PC) word must be programmed and read to be compliant with both the GS1 Gen2 and ISO/IEC 18000-63 standards.  The PC word and the UII/EPC is stored in Memory Bank 01 (MB01) which is transmitted by the tag during inventory.  The tool shows the encoding and decoding of both the PC word and the UII/EPC.</t>
  </si>
  <si>
    <t>The light-blue cells are input cells.
Selecting the cell will show the legal values of the cell.</t>
  </si>
  <si>
    <r>
      <t xml:space="preserve">The </t>
    </r>
    <r>
      <rPr>
        <u/>
        <sz val="11"/>
        <color theme="1"/>
        <rFont val="Calibri"/>
        <family val="2"/>
        <scheme val="minor"/>
      </rPr>
      <t>application specific tag data</t>
    </r>
    <r>
      <rPr>
        <sz val="11"/>
        <color theme="1"/>
        <rFont val="Calibri"/>
        <family val="2"/>
        <scheme val="minor"/>
      </rPr>
      <t xml:space="preserve">
which must be provided in uppercase hex.</t>
    </r>
  </si>
  <si>
    <t>This block provides the details of the encoding process of the RAIN Alliance CIN when used with the RAIN Alliance Number.  It shows the first number, a random number and the last number of each of the 2-, 4-, 6-, 8-digit classes.  You may change the light-blue values using any 2-, 4-, 6-, 8-digit number.</t>
  </si>
  <si>
    <r>
      <t xml:space="preserve">The </t>
    </r>
    <r>
      <rPr>
        <u/>
        <sz val="11"/>
        <color theme="1"/>
        <rFont val="Calibri"/>
        <family val="2"/>
        <scheme val="minor"/>
      </rPr>
      <t>UMI</t>
    </r>
    <r>
      <rPr>
        <sz val="11"/>
        <color theme="1"/>
        <rFont val="Calibri"/>
        <family val="2"/>
        <scheme val="minor"/>
      </rPr>
      <t xml:space="preserve"> bit which indicates the tag has User Memory (MB11) when set to 1,
else set it to 0.  When in doubt set it to 0.
Note, this bit may be set and locked by the chip manufacturer.</t>
    </r>
  </si>
  <si>
    <r>
      <t xml:space="preserve">The </t>
    </r>
    <r>
      <rPr>
        <u/>
        <sz val="11"/>
        <color theme="1"/>
        <rFont val="Calibri"/>
        <family val="2"/>
        <scheme val="minor"/>
      </rPr>
      <t>XI</t>
    </r>
    <r>
      <rPr>
        <sz val="11"/>
        <color theme="1"/>
        <rFont val="Calibri"/>
        <family val="2"/>
        <scheme val="minor"/>
      </rPr>
      <t xml:space="preserve"> bit which indicates the tag has Extended PC words when set to 1,
else set it to 0.  When in doubt set it to 0.
Note, this bit is typically set and locked by the chip manufacturer.</t>
    </r>
  </si>
  <si>
    <t>29AE</t>
  </si>
  <si>
    <t>-digit</t>
  </si>
  <si>
    <r>
      <t>T=1, AFI=AE</t>
    </r>
    <r>
      <rPr>
        <vertAlign val="subscript"/>
        <sz val="11"/>
        <color theme="1"/>
        <rFont val="Consolas"/>
        <family val="3"/>
      </rPr>
      <t>hex</t>
    </r>
  </si>
  <si>
    <r>
      <t>The PC word is calculated: Len according to the input data, T=1 and AFI=AE</t>
    </r>
    <r>
      <rPr>
        <vertAlign val="subscript"/>
        <sz val="11"/>
        <color theme="1"/>
        <rFont val="Calibri"/>
        <family val="2"/>
        <scheme val="minor"/>
      </rPr>
      <t>hex</t>
    </r>
    <r>
      <rPr>
        <sz val="11"/>
        <color theme="1"/>
        <rFont val="Calibri"/>
        <family val="2"/>
        <scheme val="minor"/>
      </rPr>
      <t>.</t>
    </r>
  </si>
  <si>
    <t xml:space="preserve">The encoding length is increased to a 16-bit word boundary ^^^^   </t>
  </si>
  <si>
    <t>EBV-8 in hex</t>
  </si>
  <si>
    <t>ð</t>
  </si>
  <si>
    <r>
      <rPr>
        <b/>
        <sz val="11"/>
        <color theme="1"/>
        <rFont val="Wingdings"/>
        <charset val="2"/>
      </rPr>
      <t>ð</t>
    </r>
    <r>
      <rPr>
        <b/>
        <sz val="11"/>
        <color theme="1"/>
        <rFont val="Consolas"/>
        <family val="3"/>
      </rPr>
      <t xml:space="preserve"> EBV-8</t>
    </r>
    <r>
      <rPr>
        <b/>
        <sz val="11"/>
        <color theme="1"/>
        <rFont val="Consolas"/>
        <family val="3"/>
        <charset val="2"/>
      </rPr>
      <t xml:space="preserve"> </t>
    </r>
    <r>
      <rPr>
        <b/>
        <sz val="11"/>
        <color theme="1"/>
        <rFont val="Wingdings"/>
        <charset val="2"/>
      </rPr>
      <t>ð</t>
    </r>
  </si>
  <si>
    <t>continuation bit prepended to each 7-bit block</t>
  </si>
  <si>
    <t>The RAIN Alliance (XRA) CIN EBV-8 encoding details, showing the first and last number of the class.</t>
  </si>
  <si>
    <t>PC word:</t>
  </si>
  <si>
    <t>UII:</t>
  </si>
  <si>
    <t>^^^^ Some readers may erronousely report the UII as an EPC. It is an UII when T=1, and an EPC when T=0.</t>
  </si>
  <si>
    <t>App data hex:</t>
  </si>
  <si>
    <t>XRA CIN:</t>
  </si>
  <si>
    <t>"XRA" = RAIN Alliance</t>
  </si>
  <si>
    <t>RAIN Alliance Number encoding using hex (binary) application specific data</t>
  </si>
  <si>
    <t>decimal number</t>
  </si>
  <si>
    <t>App-specific data in hex:</t>
  </si>
  <si>
    <t>RAIN Alliance Number decoding using hex (binary)</t>
  </si>
  <si>
    <t>XRA CIN string:</t>
  </si>
  <si>
    <r>
      <rPr>
        <sz val="11"/>
        <color theme="0" tint="-0.499984740745262"/>
        <rFont val="Wingdings"/>
        <charset val="2"/>
      </rPr>
      <t>ð</t>
    </r>
    <r>
      <rPr>
        <sz val="11"/>
        <color theme="0" tint="-0.499984740745262"/>
        <rFont val="Consolas"/>
        <family val="3"/>
      </rPr>
      <t>number</t>
    </r>
  </si>
  <si>
    <t>Enter values in the light-blue cells.</t>
  </si>
  <si>
    <t>Use this tool to change text strings to hex (set it to UTF-8): https://www.rapidtables.com/convert/number/ascii-to-hex.html</t>
  </si>
  <si>
    <t>RAIN</t>
  </si>
  <si>
    <t>CFCDC547</t>
  </si>
  <si>
    <t>1 byte</t>
  </si>
  <si>
    <t>2 bytes</t>
  </si>
  <si>
    <t>3 bytes</t>
  </si>
  <si>
    <t>4 bytes</t>
  </si>
  <si>
    <r>
      <t xml:space="preserve">PC word </t>
    </r>
    <r>
      <rPr>
        <sz val="11"/>
        <color theme="1"/>
        <rFont val="Consolas"/>
        <family val="3"/>
      </rPr>
      <t>flags &amp; AFI</t>
    </r>
  </si>
  <si>
    <t>0123456789ABCDEF</t>
  </si>
  <si>
    <r>
      <t xml:space="preserve">Valid characters for the </t>
    </r>
    <r>
      <rPr>
        <b/>
        <i/>
        <sz val="9"/>
        <color theme="0" tint="-0.499984740745262"/>
        <rFont val="Consolas"/>
        <family val="3"/>
      </rPr>
      <t>XRA CIN TEXT</t>
    </r>
    <r>
      <rPr>
        <i/>
        <sz val="9"/>
        <color theme="0" tint="-0.499984740745262"/>
        <rFont val="Consolas"/>
        <family val="3"/>
      </rPr>
      <t>: !"#$%&amp;\'()*+,-./0123456789:;&lt;=&gt;?@ABCDEFGHIJKLMNOPQRSTUVWXYZ[\]^_`abcdefghijklmnopqrstuvwxyz{|}~</t>
    </r>
  </si>
  <si>
    <t>EBV-8 is a method to encode a variable length binary into 8-bit blocks (bytes).
The binary of the XRA CIN is prepended with zeros to a length of a multiple of 7 to form 7-bit blocks.
Prepend the EBV-8 continuation bit to the 7-bit blocks.
0: Last block.
1: More blocks.</t>
  </si>
  <si>
    <t>To decode an XRA CIN TEXT simply make the first bit of each byte a 0 and do a ASCII lookup.</t>
  </si>
  <si>
    <t>It is useful for ASCII TEXT tag data encodings to derive the XRA CIN from the ASCII text string.  This tool provides for such a conversion.  The XRA CIN encodings of 1, 2, 3 and 4 bytes, which is the classes 2-, 4-, 6-, and 8-digits, map directly on a 1-, 2-, 3- and 4-character string.
To decode the tag dat to an XRA CIN TEXT simply chnage the first bit of each byte to a 0 and perfrom an ASCII lookup.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</si>
</sst>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font>
      <sz val="11"/>
      <color theme="1"/>
      <name val="Calibri"/>
      <family val="2"/>
      <scheme val="minor"/>
    </font>
    <font>
      <sz val="11"/>
      <color theme="1"/>
      <name val="Consolas"/>
      <family val="3"/>
    </font>
    <font>
      <b/>
      <sz val="11"/>
      <color theme="1"/>
      <name val="Consolas"/>
      <family val="3"/>
    </font>
    <font>
      <b/>
      <sz val="11"/>
      <color theme="0" tint="-0.499984740745262"/>
      <name val="Consolas"/>
      <family val="3"/>
    </font>
    <font>
      <sz val="11"/>
      <color theme="0" tint="-0.499984740745262"/>
      <name val="Consolas"/>
      <family val="3"/>
    </font>
    <font>
      <i/>
      <sz val="11"/>
      <color theme="1"/>
      <name val="Consolas"/>
      <family val="3"/>
    </font>
    <font>
      <i/>
      <sz val="10"/>
      <color theme="1"/>
      <name val="Consolas"/>
      <family val="3"/>
    </font>
    <font>
      <b/>
      <sz val="11"/>
      <color theme="1"/>
      <name val="Calibri"/>
      <family val="2"/>
      <scheme val="minor"/>
    </font>
    <font>
      <u/>
      <sz val="11"/>
      <color theme="1"/>
      <name val="Calibri"/>
      <family val="2"/>
      <scheme val="minor"/>
    </font>
    <font>
      <sz val="10"/>
      <color theme="1"/>
      <name val="Consolas"/>
      <family val="3"/>
    </font>
    <font>
      <vertAlign val="subscript"/>
      <sz val="11"/>
      <color theme="1"/>
      <name val="Consolas"/>
      <family val="3"/>
    </font>
    <font>
      <vertAlign val="subscript"/>
      <sz val="11"/>
      <color theme="1"/>
      <name val="Calibri"/>
      <family val="2"/>
      <scheme val="minor"/>
    </font>
    <font>
      <sz val="11"/>
      <color theme="1"/>
      <name val="Wingdings"/>
      <charset val="2"/>
    </font>
    <font>
      <b/>
      <sz val="11"/>
      <color theme="1"/>
      <name val="Wingdings"/>
      <charset val="2"/>
    </font>
    <font>
      <b/>
      <sz val="11"/>
      <color theme="1"/>
      <name val="Consolas"/>
      <family val="3"/>
      <charset val="2"/>
    </font>
    <font>
      <b/>
      <sz val="9"/>
      <color theme="0" tint="-0.499984740745262"/>
      <name val="Consolas"/>
      <family val="3"/>
    </font>
    <font>
      <sz val="11"/>
      <color theme="0" tint="-0.499984740745262"/>
      <name val="Consolas"/>
      <family val="3"/>
      <charset val="2"/>
    </font>
    <font>
      <sz val="11"/>
      <color theme="0" tint="-0.499984740745262"/>
      <name val="Wingdings"/>
      <charset val="2"/>
    </font>
    <font>
      <i/>
      <sz val="9"/>
      <color theme="0" tint="-0.499984740745262"/>
      <name val="Consolas"/>
      <family val="3"/>
    </font>
    <font>
      <sz val="11"/>
      <color theme="1"/>
      <name val="Calibri"/>
      <family val="2"/>
      <scheme val="minor"/>
    </font>
    <font>
      <sz val="8"/>
      <name val="Calibri"/>
      <family val="2"/>
      <scheme val="minor"/>
    </font>
    <font>
      <b/>
      <i/>
      <sz val="9"/>
      <color theme="0" tint="-0.499984740745262"/>
      <name val="Consolas"/>
      <family val="3"/>
    </font>
    <font>
      <sz val="8"/>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diagonal/>
    </border>
    <border>
      <left/>
      <right/>
      <top style="thin">
        <color indexed="64"/>
      </top>
      <bottom/>
      <diagonal/>
    </border>
    <border>
      <left/>
      <right style="hair">
        <color auto="1"/>
      </right>
      <top/>
      <bottom/>
      <diagonal/>
    </border>
    <border>
      <left/>
      <right style="hair">
        <color auto="1"/>
      </right>
      <top style="thin">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43" fontId="19" fillId="0" borderId="0" applyFont="0" applyFill="0" applyBorder="0" applyAlignment="0" applyProtection="0"/>
  </cellStyleXfs>
  <cellXfs count="109">
    <xf numFmtId="0" fontId="0" fillId="0" borderId="0" xfId="0"/>
    <xf numFmtId="0" fontId="1" fillId="0" borderId="0" xfId="0" applyFont="1" applyAlignment="1">
      <alignment horizontal="center" vertical="top"/>
    </xf>
    <xf numFmtId="0" fontId="1" fillId="0" borderId="0" xfId="0" applyFont="1" applyAlignment="1" applyProtection="1">
      <alignment horizontal="center" vertical="top"/>
      <protection hidden="1"/>
    </xf>
    <xf numFmtId="0" fontId="1" fillId="0" borderId="0" xfId="0" applyFont="1" applyAlignment="1" applyProtection="1">
      <alignment vertical="top"/>
      <protection hidden="1"/>
    </xf>
    <xf numFmtId="0" fontId="1" fillId="0" borderId="0" xfId="0" applyFont="1" applyAlignment="1">
      <alignment vertical="top"/>
    </xf>
    <xf numFmtId="0" fontId="1" fillId="6" borderId="0" xfId="0" applyFont="1" applyFill="1" applyAlignment="1">
      <alignment vertical="top"/>
    </xf>
    <xf numFmtId="49" fontId="1" fillId="4" borderId="11" xfId="0" applyNumberFormat="1" applyFont="1" applyFill="1" applyBorder="1" applyAlignment="1" applyProtection="1">
      <alignment horizontal="center" vertical="top"/>
      <protection locked="0"/>
    </xf>
    <xf numFmtId="49" fontId="1" fillId="4" borderId="12" xfId="0" applyNumberFormat="1" applyFont="1" applyFill="1" applyBorder="1" applyAlignment="1" applyProtection="1">
      <alignment horizontal="center" vertical="top"/>
      <protection locked="0"/>
    </xf>
    <xf numFmtId="0" fontId="1" fillId="6" borderId="0" xfId="0" applyFont="1" applyFill="1" applyAlignment="1" applyProtection="1">
      <alignment vertical="top"/>
    </xf>
    <xf numFmtId="0" fontId="2" fillId="6" borderId="0" xfId="0" applyFont="1" applyFill="1" applyAlignment="1" applyProtection="1">
      <alignment vertical="top"/>
    </xf>
    <xf numFmtId="0" fontId="5" fillId="6" borderId="0" xfId="0" applyFont="1" applyFill="1" applyAlignment="1" applyProtection="1">
      <alignment horizontal="left" vertical="top"/>
    </xf>
    <xf numFmtId="0" fontId="1" fillId="6" borderId="0" xfId="0" applyFont="1" applyFill="1" applyAlignment="1" applyProtection="1">
      <alignment horizontal="center" vertical="top"/>
    </xf>
    <xf numFmtId="0" fontId="1" fillId="0" borderId="0" xfId="0" applyFont="1" applyAlignment="1" applyProtection="1">
      <alignment vertical="top"/>
    </xf>
    <xf numFmtId="0" fontId="1" fillId="6" borderId="13" xfId="0" applyFont="1" applyFill="1" applyBorder="1" applyAlignment="1" applyProtection="1">
      <alignment vertical="top"/>
    </xf>
    <xf numFmtId="0" fontId="1" fillId="6" borderId="13" xfId="0" applyFont="1" applyFill="1" applyBorder="1" applyAlignment="1" applyProtection="1">
      <alignment horizontal="center" vertical="top"/>
    </xf>
    <xf numFmtId="0" fontId="1" fillId="7" borderId="13" xfId="0" applyFont="1" applyFill="1" applyBorder="1" applyAlignment="1" applyProtection="1">
      <alignment horizontal="right" vertical="top"/>
    </xf>
    <xf numFmtId="0" fontId="1" fillId="7" borderId="13" xfId="0" applyFont="1" applyFill="1" applyBorder="1" applyAlignment="1" applyProtection="1">
      <alignment horizontal="center" vertical="top"/>
    </xf>
    <xf numFmtId="0" fontId="1" fillId="6" borderId="0" xfId="0" applyFont="1" applyFill="1" applyAlignment="1" applyProtection="1">
      <alignment horizontal="right" vertical="top"/>
    </xf>
    <xf numFmtId="0" fontId="1" fillId="6" borderId="0" xfId="0" applyFont="1" applyFill="1" applyBorder="1" applyAlignment="1" applyProtection="1">
      <alignment horizontal="center" vertical="top"/>
    </xf>
    <xf numFmtId="0" fontId="1" fillId="0" borderId="0" xfId="0" applyFont="1" applyAlignment="1" applyProtection="1">
      <alignment horizontal="center" vertical="top"/>
    </xf>
    <xf numFmtId="0" fontId="1" fillId="0" borderId="13" xfId="0" applyFont="1" applyBorder="1" applyAlignment="1" applyProtection="1">
      <alignment horizontal="right" vertical="top"/>
    </xf>
    <xf numFmtId="0" fontId="1" fillId="5" borderId="1" xfId="0" applyFont="1" applyFill="1" applyBorder="1" applyAlignment="1" applyProtection="1">
      <alignment vertical="top"/>
    </xf>
    <xf numFmtId="0" fontId="1" fillId="5" borderId="1" xfId="0" applyFont="1" applyFill="1" applyBorder="1" applyAlignment="1" applyProtection="1">
      <alignment horizontal="right" vertical="top"/>
    </xf>
    <xf numFmtId="1" fontId="1" fillId="5" borderId="1"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1" fillId="6" borderId="0" xfId="0" applyFont="1" applyFill="1" applyAlignment="1" applyProtection="1">
      <alignment horizontal="left" vertical="top" wrapText="1"/>
    </xf>
    <xf numFmtId="0" fontId="5" fillId="6" borderId="0" xfId="0" applyFont="1" applyFill="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right" vertical="top"/>
    </xf>
    <xf numFmtId="0" fontId="1" fillId="0" borderId="0" xfId="0" applyFont="1" applyFill="1" applyAlignment="1" applyProtection="1">
      <alignment horizontal="left" vertical="top" wrapText="1"/>
    </xf>
    <xf numFmtId="0" fontId="2" fillId="2" borderId="1" xfId="0" applyFont="1" applyFill="1" applyBorder="1" applyAlignment="1" applyProtection="1">
      <alignment horizontal="right" vertical="top"/>
    </xf>
    <xf numFmtId="0" fontId="2" fillId="2" borderId="1" xfId="0" applyFont="1" applyFill="1" applyBorder="1" applyAlignment="1" applyProtection="1">
      <alignment vertical="top"/>
    </xf>
    <xf numFmtId="0" fontId="1" fillId="5" borderId="0" xfId="0" applyFont="1" applyFill="1" applyAlignment="1" applyProtection="1">
      <alignment horizontal="right" vertical="top" wrapText="1"/>
    </xf>
    <xf numFmtId="0" fontId="3" fillId="7" borderId="14" xfId="0" applyFont="1" applyFill="1" applyBorder="1" applyAlignment="1" applyProtection="1">
      <alignment horizontal="center" vertical="top"/>
    </xf>
    <xf numFmtId="0" fontId="3" fillId="7" borderId="16" xfId="0" applyFont="1" applyFill="1" applyBorder="1" applyAlignment="1" applyProtection="1">
      <alignment horizontal="center" vertical="top"/>
    </xf>
    <xf numFmtId="0" fontId="4" fillId="7" borderId="14" xfId="0" applyFont="1" applyFill="1" applyBorder="1" applyAlignment="1" applyProtection="1">
      <alignment horizontal="center" vertical="top"/>
    </xf>
    <xf numFmtId="0" fontId="4" fillId="7" borderId="15" xfId="0" applyFont="1" applyFill="1" applyBorder="1" applyAlignment="1" applyProtection="1">
      <alignment horizontal="center" vertical="top"/>
    </xf>
    <xf numFmtId="0" fontId="4" fillId="7" borderId="7" xfId="0" applyFont="1" applyFill="1" applyBorder="1" applyAlignment="1" applyProtection="1">
      <alignment horizontal="center" vertical="top"/>
    </xf>
    <xf numFmtId="0" fontId="4" fillId="7" borderId="2" xfId="0" applyFont="1" applyFill="1" applyBorder="1" applyAlignment="1" applyProtection="1">
      <alignment horizontal="center" vertical="top"/>
    </xf>
    <xf numFmtId="0" fontId="4" fillId="7" borderId="8" xfId="0" applyFont="1" applyFill="1" applyBorder="1" applyAlignment="1" applyProtection="1">
      <alignment horizontal="center" vertical="top"/>
    </xf>
    <xf numFmtId="0" fontId="4" fillId="3" borderId="4" xfId="0" applyFont="1" applyFill="1" applyBorder="1" applyAlignment="1" applyProtection="1">
      <alignment horizontal="center" vertical="top" wrapText="1"/>
    </xf>
    <xf numFmtId="49" fontId="4" fillId="3" borderId="10" xfId="0" applyNumberFormat="1" applyFont="1" applyFill="1" applyBorder="1" applyAlignment="1" applyProtection="1">
      <alignment horizontal="center" vertical="top" wrapText="1"/>
    </xf>
    <xf numFmtId="0" fontId="7" fillId="0" borderId="0" xfId="0" applyFont="1" applyAlignment="1" applyProtection="1">
      <alignment wrapText="1"/>
    </xf>
    <xf numFmtId="0" fontId="0" fillId="0" borderId="0" xfId="0" applyAlignment="1" applyProtection="1">
      <alignment wrapText="1"/>
    </xf>
    <xf numFmtId="0" fontId="7" fillId="0" borderId="1" xfId="0" applyFont="1" applyBorder="1" applyAlignment="1" applyProtection="1">
      <alignment wrapText="1"/>
    </xf>
    <xf numFmtId="0" fontId="0" fillId="0" borderId="0" xfId="0" applyAlignment="1" applyProtection="1">
      <alignment horizontal="left" wrapText="1" indent="1"/>
    </xf>
    <xf numFmtId="0" fontId="1" fillId="5" borderId="1" xfId="0" quotePrefix="1" applyFont="1" applyFill="1" applyBorder="1" applyAlignment="1" applyProtection="1">
      <alignment horizontal="left" vertical="top"/>
    </xf>
    <xf numFmtId="0" fontId="3" fillId="3" borderId="1" xfId="0" applyFont="1" applyFill="1" applyBorder="1" applyAlignment="1" applyProtection="1">
      <alignment vertical="top"/>
    </xf>
    <xf numFmtId="0" fontId="6" fillId="6" borderId="0" xfId="0" applyFont="1" applyFill="1" applyBorder="1" applyAlignment="1" applyProtection="1">
      <alignment horizontal="right" vertical="top"/>
    </xf>
    <xf numFmtId="0" fontId="1" fillId="3" borderId="1" xfId="0" applyFont="1" applyFill="1" applyBorder="1" applyAlignment="1" applyProtection="1">
      <alignment vertical="top"/>
    </xf>
    <xf numFmtId="0" fontId="4" fillId="3" borderId="1" xfId="0" applyFont="1" applyFill="1" applyBorder="1" applyAlignment="1" applyProtection="1">
      <alignment horizontal="center" vertical="top"/>
    </xf>
    <xf numFmtId="0" fontId="1" fillId="2" borderId="0" xfId="0" applyNumberFormat="1" applyFont="1" applyFill="1" applyBorder="1" applyAlignment="1" applyProtection="1">
      <alignment vertical="top"/>
    </xf>
    <xf numFmtId="0" fontId="1" fillId="2" borderId="1" xfId="0" applyNumberFormat="1" applyFont="1" applyFill="1" applyBorder="1" applyAlignment="1" applyProtection="1">
      <alignment vertical="top"/>
    </xf>
    <xf numFmtId="0" fontId="1" fillId="6" borderId="1" xfId="0" applyFont="1" applyFill="1" applyBorder="1" applyAlignment="1" applyProtection="1">
      <alignment vertical="top"/>
    </xf>
    <xf numFmtId="0" fontId="12" fillId="6" borderId="1" xfId="0" applyFont="1" applyFill="1" applyBorder="1" applyAlignment="1" applyProtection="1">
      <alignment horizontal="center" vertical="center"/>
    </xf>
    <xf numFmtId="0" fontId="6" fillId="2" borderId="0" xfId="0" applyNumberFormat="1" applyFont="1" applyFill="1" applyBorder="1" applyAlignment="1" applyProtection="1">
      <alignment vertical="center" wrapText="1"/>
    </xf>
    <xf numFmtId="0" fontId="6" fillId="2" borderId="1" xfId="0" applyNumberFormat="1" applyFont="1" applyFill="1" applyBorder="1" applyAlignment="1" applyProtection="1">
      <alignment vertical="center" wrapText="1"/>
    </xf>
    <xf numFmtId="0" fontId="4" fillId="3" borderId="0" xfId="0" applyFont="1" applyFill="1" applyBorder="1" applyAlignment="1" applyProtection="1">
      <alignment horizontal="center" vertical="top"/>
    </xf>
    <xf numFmtId="0" fontId="12" fillId="6" borderId="0" xfId="0" applyFont="1" applyFill="1" applyBorder="1" applyAlignment="1" applyProtection="1">
      <alignment horizontal="center" vertical="center"/>
    </xf>
    <xf numFmtId="0" fontId="1" fillId="3" borderId="0" xfId="0" applyFont="1" applyFill="1" applyBorder="1" applyAlignment="1" applyProtection="1">
      <alignment vertical="top"/>
    </xf>
    <xf numFmtId="0" fontId="14" fillId="2" borderId="1" xfId="0" quotePrefix="1" applyFont="1" applyFill="1" applyBorder="1" applyAlignment="1" applyProtection="1">
      <alignment horizontal="center" vertical="top"/>
    </xf>
    <xf numFmtId="0" fontId="1" fillId="4" borderId="0" xfId="0" applyFont="1" applyFill="1" applyAlignment="1">
      <alignment vertical="top"/>
    </xf>
    <xf numFmtId="0" fontId="15" fillId="3" borderId="1" xfId="0" applyFont="1" applyFill="1" applyBorder="1" applyAlignment="1" applyProtection="1">
      <alignment vertical="center"/>
    </xf>
    <xf numFmtId="0" fontId="2" fillId="4" borderId="0" xfId="0" applyFont="1" applyFill="1" applyAlignment="1">
      <alignment vertical="top"/>
    </xf>
    <xf numFmtId="0" fontId="1" fillId="4" borderId="0" xfId="0" applyFont="1" applyFill="1" applyAlignment="1">
      <alignment horizontal="center" vertical="top"/>
    </xf>
    <xf numFmtId="0" fontId="9" fillId="3" borderId="0" xfId="0" applyFont="1" applyFill="1" applyBorder="1" applyAlignment="1" applyProtection="1">
      <alignment vertical="top" wrapText="1"/>
    </xf>
    <xf numFmtId="0" fontId="6" fillId="6" borderId="0" xfId="0" applyFont="1" applyFill="1" applyAlignment="1" applyProtection="1">
      <alignment vertical="top"/>
    </xf>
    <xf numFmtId="0" fontId="1" fillId="7" borderId="13" xfId="0" applyFont="1" applyFill="1" applyBorder="1" applyAlignment="1" applyProtection="1">
      <alignment vertical="center"/>
    </xf>
    <xf numFmtId="0" fontId="6" fillId="6" borderId="13" xfId="0" applyFont="1" applyFill="1" applyBorder="1" applyAlignment="1" applyProtection="1">
      <alignment horizontal="left"/>
    </xf>
    <xf numFmtId="0" fontId="1" fillId="7" borderId="13" xfId="0" applyFont="1" applyFill="1" applyBorder="1" applyAlignment="1" applyProtection="1">
      <alignment horizontal="left" vertical="top"/>
    </xf>
    <xf numFmtId="0" fontId="4" fillId="7" borderId="22" xfId="0" applyFont="1" applyFill="1" applyBorder="1" applyAlignment="1" applyProtection="1">
      <alignment vertical="center"/>
    </xf>
    <xf numFmtId="0" fontId="4" fillId="7" borderId="22" xfId="0" applyFont="1" applyFill="1" applyBorder="1" applyAlignment="1" applyProtection="1">
      <alignment horizontal="right" vertical="top"/>
    </xf>
    <xf numFmtId="49" fontId="4" fillId="4" borderId="22" xfId="0" quotePrefix="1" applyNumberFormat="1" applyFont="1" applyFill="1" applyBorder="1" applyAlignment="1" applyProtection="1">
      <alignment horizontal="left" vertical="top"/>
      <protection locked="0"/>
    </xf>
    <xf numFmtId="0" fontId="16" fillId="3" borderId="22" xfId="0" applyFont="1" applyFill="1" applyBorder="1" applyAlignment="1" applyProtection="1">
      <alignment horizontal="left" vertical="top"/>
    </xf>
    <xf numFmtId="0" fontId="18" fillId="0" borderId="0" xfId="0" applyFont="1" applyAlignment="1" applyProtection="1">
      <alignment vertical="top"/>
    </xf>
    <xf numFmtId="49" fontId="1" fillId="4" borderId="13" xfId="0" applyNumberFormat="1" applyFont="1" applyFill="1" applyBorder="1" applyAlignment="1" applyProtection="1">
      <alignment vertical="top" wrapText="1"/>
      <protection locked="0"/>
    </xf>
    <xf numFmtId="1" fontId="1" fillId="4" borderId="0" xfId="0" applyNumberFormat="1" applyFont="1" applyFill="1" applyBorder="1" applyAlignment="1" applyProtection="1">
      <alignment vertical="top"/>
      <protection locked="0"/>
    </xf>
    <xf numFmtId="49" fontId="4" fillId="7" borderId="4" xfId="0" applyNumberFormat="1" applyFont="1" applyFill="1" applyBorder="1" applyAlignment="1" applyProtection="1">
      <alignment horizontal="center" vertical="top"/>
    </xf>
    <xf numFmtId="49" fontId="4" fillId="3" borderId="21" xfId="0" applyNumberFormat="1" applyFont="1" applyFill="1" applyBorder="1" applyAlignment="1" applyProtection="1">
      <alignment horizontal="center" vertical="top"/>
      <protection locked="0"/>
    </xf>
    <xf numFmtId="164" fontId="1" fillId="0" borderId="0" xfId="1" applyNumberFormat="1" applyFont="1" applyAlignment="1" applyProtection="1">
      <alignment vertical="top"/>
    </xf>
    <xf numFmtId="0" fontId="18" fillId="0" borderId="0" xfId="0" applyFont="1" applyAlignment="1" applyProtection="1">
      <alignment horizontal="left" vertical="top" indent="1"/>
    </xf>
    <xf numFmtId="0" fontId="0" fillId="4" borderId="22" xfId="0" applyFill="1" applyBorder="1" applyProtection="1">
      <protection locked="0"/>
    </xf>
    <xf numFmtId="0" fontId="3" fillId="7" borderId="5" xfId="0" applyFont="1" applyFill="1" applyBorder="1" applyAlignment="1" applyProtection="1">
      <alignment horizontal="center" vertical="top"/>
    </xf>
    <xf numFmtId="0" fontId="3" fillId="7" borderId="6" xfId="0" applyFont="1" applyFill="1" applyBorder="1" applyAlignment="1" applyProtection="1">
      <alignment horizontal="center" vertical="top"/>
    </xf>
    <xf numFmtId="0" fontId="5" fillId="4" borderId="0" xfId="0" applyFont="1" applyFill="1" applyAlignment="1">
      <alignment horizontal="left" vertical="top"/>
    </xf>
    <xf numFmtId="49" fontId="1" fillId="4" borderId="0" xfId="0" applyNumberFormat="1" applyFont="1" applyFill="1" applyAlignment="1" applyProtection="1">
      <alignment horizontal="left" vertical="top" wrapText="1"/>
      <protection locked="0"/>
    </xf>
    <xf numFmtId="0" fontId="1" fillId="5" borderId="17"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9" xfId="0" applyFont="1" applyFill="1" applyBorder="1" applyAlignment="1">
      <alignment horizontal="left" vertical="top" wrapText="1"/>
    </xf>
    <xf numFmtId="0" fontId="2" fillId="3" borderId="3" xfId="0" applyFont="1" applyFill="1" applyBorder="1" applyAlignment="1">
      <alignment horizontal="center" vertical="top"/>
    </xf>
    <xf numFmtId="0" fontId="2" fillId="3" borderId="9" xfId="0" applyFont="1" applyFill="1" applyBorder="1" applyAlignment="1">
      <alignment horizontal="center" vertical="top"/>
    </xf>
    <xf numFmtId="0" fontId="2" fillId="3" borderId="0" xfId="0" applyFont="1" applyFill="1" applyAlignment="1">
      <alignment horizontal="center" vertical="top"/>
    </xf>
    <xf numFmtId="0" fontId="2" fillId="3" borderId="3" xfId="0" applyFont="1" applyFill="1" applyBorder="1" applyAlignment="1" applyProtection="1">
      <alignment horizontal="center" vertical="top"/>
    </xf>
    <xf numFmtId="0" fontId="2" fillId="3" borderId="18" xfId="0" applyFont="1" applyFill="1" applyBorder="1" applyAlignment="1" applyProtection="1">
      <alignment horizontal="center" vertical="top"/>
    </xf>
    <xf numFmtId="0" fontId="2" fillId="3" borderId="20" xfId="0" applyFont="1" applyFill="1" applyBorder="1" applyAlignment="1" applyProtection="1">
      <alignment horizontal="center" vertical="top"/>
    </xf>
    <xf numFmtId="0" fontId="1" fillId="5" borderId="4" xfId="0" applyFont="1" applyFill="1" applyBorder="1" applyAlignment="1">
      <alignment horizontal="center" vertical="top"/>
    </xf>
    <xf numFmtId="0" fontId="1" fillId="5" borderId="10" xfId="0" applyFont="1" applyFill="1" applyBorder="1" applyAlignment="1">
      <alignment horizontal="center" vertical="top"/>
    </xf>
    <xf numFmtId="0" fontId="1" fillId="7" borderId="0" xfId="0" applyFont="1" applyFill="1" applyAlignment="1" applyProtection="1">
      <alignment horizontal="right" vertical="top" wrapText="1"/>
    </xf>
    <xf numFmtId="0" fontId="9" fillId="0" borderId="0" xfId="0" applyFont="1" applyFill="1" applyBorder="1" applyAlignment="1" applyProtection="1">
      <alignment horizontal="left" vertical="top" wrapText="1"/>
    </xf>
    <xf numFmtId="0" fontId="1" fillId="6" borderId="18" xfId="0" applyFont="1" applyFill="1" applyBorder="1" applyAlignment="1" applyProtection="1">
      <alignment horizontal="center" vertical="top"/>
    </xf>
    <xf numFmtId="0" fontId="9" fillId="3" borderId="0" xfId="0" applyFont="1" applyFill="1" applyBorder="1" applyAlignment="1" applyProtection="1">
      <alignment horizontal="center" vertical="top" wrapText="1"/>
    </xf>
    <xf numFmtId="0" fontId="9" fillId="3" borderId="0" xfId="0" applyFont="1" applyFill="1" applyBorder="1" applyAlignment="1" applyProtection="1">
      <alignment horizontal="left" vertical="top" wrapText="1"/>
    </xf>
    <xf numFmtId="0" fontId="6" fillId="6" borderId="17" xfId="0" applyFont="1" applyFill="1" applyBorder="1" applyAlignment="1">
      <alignment horizontal="center" vertical="top" wrapText="1"/>
    </xf>
    <xf numFmtId="0" fontId="6" fillId="6" borderId="0" xfId="0" applyFont="1" applyFill="1" applyBorder="1" applyAlignment="1">
      <alignment horizontal="center" vertical="top" wrapText="1"/>
    </xf>
    <xf numFmtId="0" fontId="6" fillId="6" borderId="19" xfId="0" applyFont="1" applyFill="1" applyBorder="1" applyAlignment="1">
      <alignment horizontal="center" vertical="top" wrapText="1"/>
    </xf>
    <xf numFmtId="0" fontId="1" fillId="5" borderId="0" xfId="0" applyFont="1" applyFill="1" applyAlignment="1" applyProtection="1">
      <alignment horizontal="left" vertical="top" wrapText="1"/>
    </xf>
    <xf numFmtId="0" fontId="3" fillId="3" borderId="1" xfId="0" applyFont="1" applyFill="1" applyBorder="1" applyAlignment="1" applyProtection="1">
      <alignment horizontal="center" vertical="top"/>
    </xf>
    <xf numFmtId="0" fontId="1" fillId="5" borderId="0" xfId="0" applyFont="1" applyFill="1" applyAlignment="1" applyProtection="1">
      <alignment horizontal="right" vertical="top"/>
    </xf>
    <xf numFmtId="0" fontId="22" fillId="2" borderId="0" xfId="0" applyNumberFormat="1" applyFont="1" applyFill="1" applyBorder="1" applyAlignment="1" applyProtection="1">
      <alignment horizontal="left" vertical="top" wrapText="1"/>
    </xf>
  </cellXfs>
  <cellStyles count="2">
    <cellStyle name="Comma"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3608070</xdr:colOff>
      <xdr:row>13</xdr:row>
      <xdr:rowOff>53340</xdr:rowOff>
    </xdr:from>
    <xdr:to>
      <xdr:col>0</xdr:col>
      <xdr:colOff>6524263</xdr:colOff>
      <xdr:row>16</xdr:row>
      <xdr:rowOff>137056</xdr:rowOff>
    </xdr:to>
    <xdr:pic>
      <xdr:nvPicPr>
        <xdr:cNvPr id="2" name="Picture 1">
          <a:extLst>
            <a:ext uri="{FF2B5EF4-FFF2-40B4-BE49-F238E27FC236}">
              <a16:creationId xmlns:a16="http://schemas.microsoft.com/office/drawing/2014/main" id="{1F122703-A6C0-4A74-BC88-37C9D9B29ADF}"/>
            </a:ext>
          </a:extLst>
        </xdr:cNvPr>
        <xdr:cNvPicPr>
          <a:picLocks noChangeAspect="1"/>
        </xdr:cNvPicPr>
      </xdr:nvPicPr>
      <xdr:blipFill>
        <a:blip xmlns:r="http://schemas.openxmlformats.org/officeDocument/2006/relationships" r:embed="rId1"/>
        <a:stretch>
          <a:fillRect/>
        </a:stretch>
      </xdr:blipFill>
      <xdr:spPr>
        <a:xfrm>
          <a:off x="3608070" y="3701415"/>
          <a:ext cx="2914288" cy="803806"/>
        </a:xfrm>
        <a:prstGeom prst="rect">
          <a:avLst/>
        </a:prstGeom>
      </xdr:spPr>
    </xdr:pic>
    <xdr:clientData/>
  </xdr:twoCellAnchor>
  <xdr:twoCellAnchor editAs="oneCell">
    <xdr:from>
      <xdr:col>0</xdr:col>
      <xdr:colOff>3135630</xdr:colOff>
      <xdr:row>17</xdr:row>
      <xdr:rowOff>17145</xdr:rowOff>
    </xdr:from>
    <xdr:to>
      <xdr:col>0</xdr:col>
      <xdr:colOff>6526107</xdr:colOff>
      <xdr:row>20</xdr:row>
      <xdr:rowOff>1794</xdr:rowOff>
    </xdr:to>
    <xdr:pic>
      <xdr:nvPicPr>
        <xdr:cNvPr id="3" name="Picture 2">
          <a:extLst>
            <a:ext uri="{FF2B5EF4-FFF2-40B4-BE49-F238E27FC236}">
              <a16:creationId xmlns:a16="http://schemas.microsoft.com/office/drawing/2014/main" id="{29C73B59-9E1A-42DF-982D-4149EE738598}"/>
            </a:ext>
          </a:extLst>
        </xdr:cNvPr>
        <xdr:cNvPicPr>
          <a:picLocks noChangeAspect="1"/>
        </xdr:cNvPicPr>
      </xdr:nvPicPr>
      <xdr:blipFill>
        <a:blip xmlns:r="http://schemas.openxmlformats.org/officeDocument/2006/relationships" r:embed="rId2"/>
        <a:stretch>
          <a:fillRect/>
        </a:stretch>
      </xdr:blipFill>
      <xdr:spPr>
        <a:xfrm>
          <a:off x="3135630" y="4570095"/>
          <a:ext cx="3388572" cy="889524"/>
        </a:xfrm>
        <a:prstGeom prst="rect">
          <a:avLst/>
        </a:prstGeom>
      </xdr:spPr>
    </xdr:pic>
    <xdr:clientData/>
  </xdr:twoCellAnchor>
  <xdr:twoCellAnchor editAs="oneCell">
    <xdr:from>
      <xdr:col>0</xdr:col>
      <xdr:colOff>5044440</xdr:colOff>
      <xdr:row>21</xdr:row>
      <xdr:rowOff>38100</xdr:rowOff>
    </xdr:from>
    <xdr:to>
      <xdr:col>0</xdr:col>
      <xdr:colOff>6514917</xdr:colOff>
      <xdr:row>22</xdr:row>
      <xdr:rowOff>535175</xdr:rowOff>
    </xdr:to>
    <xdr:pic>
      <xdr:nvPicPr>
        <xdr:cNvPr id="4" name="Picture 3">
          <a:extLst>
            <a:ext uri="{FF2B5EF4-FFF2-40B4-BE49-F238E27FC236}">
              <a16:creationId xmlns:a16="http://schemas.microsoft.com/office/drawing/2014/main" id="{856E492D-EAA8-4CA3-ACAB-604EB893510D}"/>
            </a:ext>
          </a:extLst>
        </xdr:cNvPr>
        <xdr:cNvPicPr>
          <a:picLocks noChangeAspect="1"/>
        </xdr:cNvPicPr>
      </xdr:nvPicPr>
      <xdr:blipFill>
        <a:blip xmlns:r="http://schemas.openxmlformats.org/officeDocument/2006/relationships" r:embed="rId3"/>
        <a:stretch>
          <a:fillRect/>
        </a:stretch>
      </xdr:blipFill>
      <xdr:spPr>
        <a:xfrm>
          <a:off x="5044440" y="5676900"/>
          <a:ext cx="1470477" cy="1049525"/>
        </a:xfrm>
        <a:prstGeom prst="rect">
          <a:avLst/>
        </a:prstGeom>
      </xdr:spPr>
    </xdr:pic>
    <xdr:clientData/>
  </xdr:twoCellAnchor>
  <xdr:twoCellAnchor editAs="oneCell">
    <xdr:from>
      <xdr:col>0</xdr:col>
      <xdr:colOff>1310640</xdr:colOff>
      <xdr:row>25</xdr:row>
      <xdr:rowOff>81915</xdr:rowOff>
    </xdr:from>
    <xdr:to>
      <xdr:col>0</xdr:col>
      <xdr:colOff>5202070</xdr:colOff>
      <xdr:row>28</xdr:row>
      <xdr:rowOff>137085</xdr:rowOff>
    </xdr:to>
    <xdr:pic>
      <xdr:nvPicPr>
        <xdr:cNvPr id="6" name="Picture 5">
          <a:extLst>
            <a:ext uri="{FF2B5EF4-FFF2-40B4-BE49-F238E27FC236}">
              <a16:creationId xmlns:a16="http://schemas.microsoft.com/office/drawing/2014/main" id="{1AABA92F-90D5-44E1-9461-8595F91CD081}"/>
            </a:ext>
          </a:extLst>
        </xdr:cNvPr>
        <xdr:cNvPicPr>
          <a:picLocks noChangeAspect="1"/>
        </xdr:cNvPicPr>
      </xdr:nvPicPr>
      <xdr:blipFill>
        <a:blip xmlns:r="http://schemas.openxmlformats.org/officeDocument/2006/relationships" r:embed="rId4"/>
        <a:stretch>
          <a:fillRect/>
        </a:stretch>
      </xdr:blipFill>
      <xdr:spPr>
        <a:xfrm>
          <a:off x="1310640" y="6987540"/>
          <a:ext cx="3880000" cy="607620"/>
        </a:xfrm>
        <a:prstGeom prst="rect">
          <a:avLst/>
        </a:prstGeom>
      </xdr:spPr>
    </xdr:pic>
    <xdr:clientData/>
  </xdr:twoCellAnchor>
  <xdr:twoCellAnchor editAs="oneCell">
    <xdr:from>
      <xdr:col>0</xdr:col>
      <xdr:colOff>3764280</xdr:colOff>
      <xdr:row>31</xdr:row>
      <xdr:rowOff>7620</xdr:rowOff>
    </xdr:from>
    <xdr:to>
      <xdr:col>0</xdr:col>
      <xdr:colOff>6499519</xdr:colOff>
      <xdr:row>32</xdr:row>
      <xdr:rowOff>535217</xdr:rowOff>
    </xdr:to>
    <xdr:pic>
      <xdr:nvPicPr>
        <xdr:cNvPr id="7" name="Picture 6">
          <a:extLst>
            <a:ext uri="{FF2B5EF4-FFF2-40B4-BE49-F238E27FC236}">
              <a16:creationId xmlns:a16="http://schemas.microsoft.com/office/drawing/2014/main" id="{9756A9F0-B1DC-4A70-9043-45AFD825AA31}"/>
            </a:ext>
          </a:extLst>
        </xdr:cNvPr>
        <xdr:cNvPicPr>
          <a:picLocks noChangeAspect="1"/>
        </xdr:cNvPicPr>
      </xdr:nvPicPr>
      <xdr:blipFill>
        <a:blip xmlns:r="http://schemas.openxmlformats.org/officeDocument/2006/relationships" r:embed="rId5"/>
        <a:stretch>
          <a:fillRect/>
        </a:stretch>
      </xdr:blipFill>
      <xdr:spPr>
        <a:xfrm>
          <a:off x="3764280" y="7999095"/>
          <a:ext cx="2744764" cy="704762"/>
        </a:xfrm>
        <a:prstGeom prst="rect">
          <a:avLst/>
        </a:prstGeom>
      </xdr:spPr>
    </xdr:pic>
    <xdr:clientData/>
  </xdr:twoCellAnchor>
  <xdr:twoCellAnchor editAs="oneCell">
    <xdr:from>
      <xdr:col>0</xdr:col>
      <xdr:colOff>2987040</xdr:colOff>
      <xdr:row>34</xdr:row>
      <xdr:rowOff>81915</xdr:rowOff>
    </xdr:from>
    <xdr:to>
      <xdr:col>0</xdr:col>
      <xdr:colOff>6495609</xdr:colOff>
      <xdr:row>34</xdr:row>
      <xdr:rowOff>478106</xdr:rowOff>
    </xdr:to>
    <xdr:pic>
      <xdr:nvPicPr>
        <xdr:cNvPr id="8" name="Picture 7">
          <a:extLst>
            <a:ext uri="{FF2B5EF4-FFF2-40B4-BE49-F238E27FC236}">
              <a16:creationId xmlns:a16="http://schemas.microsoft.com/office/drawing/2014/main" id="{E8F1259D-4B79-415E-B2D7-80FF958A63CE}"/>
            </a:ext>
          </a:extLst>
        </xdr:cNvPr>
        <xdr:cNvPicPr>
          <a:picLocks noChangeAspect="1"/>
        </xdr:cNvPicPr>
      </xdr:nvPicPr>
      <xdr:blipFill>
        <a:blip xmlns:r="http://schemas.openxmlformats.org/officeDocument/2006/relationships" r:embed="rId6"/>
        <a:stretch>
          <a:fillRect/>
        </a:stretch>
      </xdr:blipFill>
      <xdr:spPr>
        <a:xfrm>
          <a:off x="2987040" y="8987790"/>
          <a:ext cx="3508569" cy="38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317DF-1BA2-450D-B07B-3C4922FC8F17}">
  <dimension ref="A1:A41"/>
  <sheetViews>
    <sheetView topLeftCell="A32" workbookViewId="0">
      <selection activeCell="A42" sqref="A42"/>
    </sheetView>
  </sheetViews>
  <sheetFormatPr defaultRowHeight="14.4"/>
  <cols>
    <col min="1" max="1" width="95.21875" style="43" customWidth="1"/>
    <col min="2" max="16384" width="8.88671875" style="43"/>
  </cols>
  <sheetData>
    <row r="1" spans="1:1">
      <c r="A1" s="42" t="str">
        <f ca="1">Tool!B2</f>
        <v>RAIN Alliance Number encoder-decoder tool 20220517</v>
      </c>
    </row>
    <row r="3" spans="1:1">
      <c r="A3" s="44" t="s">
        <v>10</v>
      </c>
    </row>
    <row r="4" spans="1:1">
      <c r="A4" s="43" t="s">
        <v>11</v>
      </c>
    </row>
    <row r="6" spans="1:1" ht="43.2">
      <c r="A6" s="43" t="s">
        <v>12</v>
      </c>
    </row>
    <row r="8" spans="1:1" ht="57.6">
      <c r="A8" s="43" t="s">
        <v>28</v>
      </c>
    </row>
    <row r="10" spans="1:1">
      <c r="A10" s="43" t="s">
        <v>13</v>
      </c>
    </row>
    <row r="11" spans="1:1">
      <c r="A11" s="45" t="s">
        <v>14</v>
      </c>
    </row>
    <row r="12" spans="1:1">
      <c r="A12" s="45" t="s">
        <v>15</v>
      </c>
    </row>
    <row r="13" spans="1:1" ht="43.2" customHeight="1">
      <c r="A13" s="45" t="s">
        <v>16</v>
      </c>
    </row>
    <row r="15" spans="1:1" ht="28.8">
      <c r="A15" s="43" t="s">
        <v>29</v>
      </c>
    </row>
    <row r="17" spans="1:1">
      <c r="A17" s="42" t="s">
        <v>2</v>
      </c>
    </row>
    <row r="18" spans="1:1">
      <c r="A18" s="43" t="s">
        <v>18</v>
      </c>
    </row>
    <row r="19" spans="1:1" ht="28.8">
      <c r="A19" s="45" t="s">
        <v>19</v>
      </c>
    </row>
    <row r="20" spans="1:1" ht="28.8">
      <c r="A20" s="45" t="s">
        <v>30</v>
      </c>
    </row>
    <row r="21" spans="1:1" ht="15.6">
      <c r="A21" s="45" t="s">
        <v>37</v>
      </c>
    </row>
    <row r="22" spans="1:1" ht="43.2">
      <c r="A22" s="45" t="s">
        <v>32</v>
      </c>
    </row>
    <row r="23" spans="1:1" ht="43.2">
      <c r="A23" s="45" t="s">
        <v>33</v>
      </c>
    </row>
    <row r="25" spans="1:1" ht="28.8">
      <c r="A25" s="43" t="s">
        <v>23</v>
      </c>
    </row>
    <row r="30" spans="1:1">
      <c r="A30" s="43" t="s">
        <v>24</v>
      </c>
    </row>
    <row r="32" spans="1:1">
      <c r="A32" s="42" t="s">
        <v>25</v>
      </c>
    </row>
    <row r="33" spans="1:1" ht="43.2">
      <c r="A33" s="43" t="s">
        <v>26</v>
      </c>
    </row>
    <row r="35" spans="1:1" ht="43.2">
      <c r="A35" s="43" t="s">
        <v>27</v>
      </c>
    </row>
    <row r="37" spans="1:1">
      <c r="A37" s="42" t="s">
        <v>22</v>
      </c>
    </row>
    <row r="38" spans="1:1" ht="43.2">
      <c r="A38" s="43" t="s">
        <v>31</v>
      </c>
    </row>
    <row r="40" spans="1:1">
      <c r="A40" s="42" t="s">
        <v>68</v>
      </c>
    </row>
    <row r="41" spans="1:1" ht="72.599999999999994" customHeight="1">
      <c r="A41" s="43" t="s">
        <v>69</v>
      </c>
    </row>
  </sheetData>
  <sheetProtection sheet="1" objects="1" scenarios="1"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2" zoomScale="90" zoomScaleNormal="90" workbookViewId="0">
      <selection activeCell="C16" sqref="C16:F16"/>
    </sheetView>
  </sheetViews>
  <sheetFormatPr defaultRowHeight="14.4"/>
  <cols>
    <col min="1" max="1" width="2.77734375" style="4" customWidth="1"/>
    <col min="2" max="2" width="11.21875" style="4" customWidth="1"/>
    <col min="3" max="3" width="9.44140625" style="1" customWidth="1"/>
    <col min="4" max="4" width="11" style="1" bestFit="1" customWidth="1"/>
    <col min="5" max="5" width="9.44140625" style="1" customWidth="1"/>
    <col min="6" max="6" width="12.44140625" style="1" customWidth="1"/>
    <col min="7" max="7" width="13.109375" style="4" customWidth="1"/>
    <col min="8" max="8" width="11" style="4" bestFit="1" customWidth="1"/>
    <col min="9" max="9" width="12" style="4" customWidth="1"/>
    <col min="10" max="10" width="10.6640625" style="1" customWidth="1"/>
    <col min="11" max="11" width="13.109375" style="4" customWidth="1"/>
    <col min="12" max="12" width="2.44140625" style="4" customWidth="1"/>
    <col min="13" max="13" width="15.6640625" style="4" customWidth="1"/>
    <col min="14" max="14" width="8.88671875" style="4"/>
    <col min="15" max="15" width="2.6640625" style="4" customWidth="1"/>
    <col min="16" max="18" width="8.88671875" style="4"/>
    <col min="19" max="19" width="24.88671875" style="4" customWidth="1"/>
    <col min="20" max="16384" width="8.88671875" style="4"/>
  </cols>
  <sheetData>
    <row r="1" spans="1:19" s="3" customFormat="1" hidden="1">
      <c r="B1" s="3" t="str" cm="1">
        <f t="array" aca="1" ref="B1" ca="1">MID(CELL("filename"),SEARCH("[",CELL("filename"))+1, SEARCH("]",CELL("filename"))-SEARCH("[",CELL("filename"))-1)</f>
        <v>RAIN Alliance Number encoder-decoder tool 20220517.xlsx</v>
      </c>
      <c r="C1" s="2"/>
      <c r="D1" s="2"/>
      <c r="E1" s="2"/>
      <c r="F1" s="2"/>
      <c r="J1" s="2"/>
    </row>
    <row r="2" spans="1:19">
      <c r="A2" s="61"/>
      <c r="B2" s="63" t="str">
        <f ca="1">LEFT(B1,IFERROR(FIND(".xls",B1),LEN(B1)+1)-1)</f>
        <v>RAIN Alliance Number encoder-decoder tool 20220517</v>
      </c>
      <c r="C2" s="64"/>
      <c r="D2" s="64"/>
      <c r="E2" s="64"/>
      <c r="F2" s="64"/>
      <c r="G2" s="61"/>
      <c r="H2" s="61"/>
      <c r="I2" s="61"/>
      <c r="J2" s="64"/>
      <c r="K2" s="61"/>
      <c r="L2" s="61"/>
      <c r="M2" s="61"/>
      <c r="N2" s="61"/>
      <c r="O2" s="61"/>
    </row>
    <row r="3" spans="1:19">
      <c r="A3" s="61"/>
      <c r="B3" s="84" t="s">
        <v>56</v>
      </c>
      <c r="C3" s="84"/>
      <c r="D3" s="84"/>
      <c r="E3" s="84"/>
      <c r="F3" s="84"/>
      <c r="G3" s="84"/>
      <c r="H3" s="84" t="s">
        <v>5</v>
      </c>
      <c r="I3" s="84"/>
      <c r="J3" s="84"/>
      <c r="K3" s="84"/>
      <c r="L3" s="84"/>
      <c r="M3" s="84"/>
      <c r="N3" s="61"/>
      <c r="O3" s="61"/>
    </row>
    <row r="5" spans="1:19" s="12" customFormat="1">
      <c r="A5" s="8"/>
      <c r="B5" s="9" t="s">
        <v>50</v>
      </c>
      <c r="C5" s="10"/>
      <c r="D5" s="10"/>
      <c r="E5" s="10"/>
      <c r="F5" s="10"/>
      <c r="G5" s="10"/>
      <c r="H5" s="8"/>
      <c r="I5" s="8"/>
      <c r="J5" s="11"/>
      <c r="K5" s="8"/>
      <c r="L5" s="8"/>
      <c r="M5" s="8"/>
      <c r="N5" s="8"/>
      <c r="O5" s="8"/>
    </row>
    <row r="6" spans="1:19" s="12" customFormat="1">
      <c r="A6" s="8"/>
      <c r="B6" s="8"/>
      <c r="C6" s="11"/>
      <c r="D6" s="11"/>
      <c r="E6" s="11"/>
      <c r="F6" s="11"/>
      <c r="G6" s="82" t="s">
        <v>8</v>
      </c>
      <c r="H6" s="83"/>
      <c r="I6" s="91" t="s">
        <v>20</v>
      </c>
      <c r="J6" s="91"/>
      <c r="K6" s="91"/>
      <c r="L6" s="91"/>
      <c r="M6" s="91"/>
      <c r="N6" s="91"/>
      <c r="O6" s="8"/>
    </row>
    <row r="7" spans="1:19" s="12" customFormat="1">
      <c r="A7" s="8"/>
      <c r="B7" s="13"/>
      <c r="C7" s="68" t="s">
        <v>49</v>
      </c>
      <c r="D7" s="14"/>
      <c r="E7" s="14"/>
      <c r="F7" s="14"/>
      <c r="G7" s="33" t="s">
        <v>3</v>
      </c>
      <c r="H7" s="34" t="s">
        <v>4</v>
      </c>
      <c r="I7" s="89" t="s">
        <v>64</v>
      </c>
      <c r="J7" s="90"/>
      <c r="K7" s="92" t="s">
        <v>21</v>
      </c>
      <c r="L7" s="93"/>
      <c r="M7" s="93"/>
      <c r="N7" s="94"/>
      <c r="O7" s="8"/>
    </row>
    <row r="8" spans="1:19" s="12" customFormat="1" ht="13.8" customHeight="1">
      <c r="A8" s="8"/>
      <c r="B8" s="67"/>
      <c r="C8" s="15" t="s">
        <v>48</v>
      </c>
      <c r="D8" s="81">
        <v>268435455</v>
      </c>
      <c r="E8" s="69" t="s">
        <v>51</v>
      </c>
      <c r="F8" s="16"/>
      <c r="G8" s="35">
        <f>(LEN(K8)-2)*4</f>
        <v>32</v>
      </c>
      <c r="H8" s="36">
        <f>G8/16</f>
        <v>2</v>
      </c>
      <c r="I8" s="95" t="str">
        <f>_xlfn.CONCAT(BIN2HEX(_xlfn.CONCAT(LEFT(I9,5),I10,J10,"1"),2)," AE")</f>
        <v>31 AE</v>
      </c>
      <c r="J8" s="96"/>
      <c r="K8" s="32" t="str">
        <f>IF(D8&lt;=127,_xlfn.CONCAT("0x",DEC2HEX(D8,2)),
IF(AND(D8&gt;127,D8&lt;=16383),_xlfn.CONCAT("0x",DEC2HEX(MOD(INT(D8/128),128)+128,2),DEC2HEX(MOD(D8,128),2)),
IF(AND(D8&gt;16383,D8&lt;=2097171),_xlfn.CONCAT("0x",DEC2HEX(MOD(INT(D8/128/128),128)+128,2),DEC2HEX(MOD(INT(D8/128),128)+128,2),DEC2HEX(MOD(D8,128),2)),
IF(AND(D8&gt;2097171,D8&lt;=268435455),_xlfn.CONCAT("0x",DEC2HEX(MOD(INT(D8/128/128/128),128)+128,2),DEC2HEX(MOD(INT(D8/128/128),128)+128,2),DEC2HEX(MOD(INT(D8/128),128)+128,2),DEC2HEX(MOD(D8,128),2)),
"Not valid"))))</f>
        <v>0xFFFFFF7F</v>
      </c>
      <c r="L8" s="86" t="str">
        <f>_xlfn.CONCAT(D9,IF(MOD(H9*4,4)=0,"",REPT("0",4-MOD(H9*4,4))))</f>
        <v>0123456789ABCDEF</v>
      </c>
      <c r="M8" s="87"/>
      <c r="N8" s="88"/>
      <c r="O8" s="8"/>
    </row>
    <row r="9" spans="1:19" s="12" customFormat="1" ht="28.8" customHeight="1">
      <c r="A9" s="8"/>
      <c r="B9" s="97" t="s">
        <v>52</v>
      </c>
      <c r="C9" s="97"/>
      <c r="D9" s="85" t="s">
        <v>65</v>
      </c>
      <c r="E9" s="85"/>
      <c r="F9" s="85"/>
      <c r="G9" s="77">
        <f>4*LEN(D9)</f>
        <v>64</v>
      </c>
      <c r="H9" s="37">
        <f>G9/16</f>
        <v>4</v>
      </c>
      <c r="I9" s="40" t="str">
        <f>_xlfn.CONCAT(DEC2BIN(H10,5),"ux1 UMI(u)")</f>
        <v>00110ux1 UMI(u)</v>
      </c>
      <c r="J9" s="41" t="s">
        <v>7</v>
      </c>
      <c r="K9" s="5"/>
      <c r="L9" s="86"/>
      <c r="M9" s="87"/>
      <c r="N9" s="88"/>
      <c r="O9" s="8"/>
    </row>
    <row r="10" spans="1:19" s="12" customFormat="1" ht="15" thickBot="1">
      <c r="A10" s="8"/>
      <c r="B10" s="70"/>
      <c r="C10" s="71" t="s">
        <v>54</v>
      </c>
      <c r="D10" s="72" t="s">
        <v>58</v>
      </c>
      <c r="E10" s="73" t="s">
        <v>55</v>
      </c>
      <c r="F10" s="78" cm="1">
        <f t="array" ref="F10">_xlfn.SWITCH(LEN(D10),
1,CODE(MID(D10,1,1)),
2,CODE(MID(D10,1,1))*128+CODE(MID(D10,2,1)),
3,CODE(MID(D10,1,1))*128*128+CODE(MID(D10,2,1))*128+CODE(MID(D10,3,1)),
4,CODE(MID(D10,1,1))*128*128*128+CODE(MID(D10,2,1))*128*128+CODE(MID(D10,3,1))*128+CODE(MID(D10,4,1)),
"Error")</f>
        <v>173040846</v>
      </c>
      <c r="G10" s="38">
        <f>G8+G9</f>
        <v>96</v>
      </c>
      <c r="H10" s="39">
        <f>ROUNDUP(H8+H9,0)</f>
        <v>6</v>
      </c>
      <c r="I10" s="6" t="s">
        <v>6</v>
      </c>
      <c r="J10" s="7" t="s">
        <v>6</v>
      </c>
      <c r="K10" s="17"/>
      <c r="L10" s="102" t="s">
        <v>9</v>
      </c>
      <c r="M10" s="103"/>
      <c r="N10" s="104"/>
      <c r="O10" s="8"/>
    </row>
    <row r="11" spans="1:19" s="12" customFormat="1" ht="16.2" thickTop="1">
      <c r="A11" s="8"/>
      <c r="B11" s="8"/>
      <c r="C11" s="11"/>
      <c r="D11" s="11"/>
      <c r="E11" s="11"/>
      <c r="F11" s="11"/>
      <c r="G11" s="18"/>
      <c r="H11" s="48" t="s">
        <v>38</v>
      </c>
      <c r="I11" s="99" t="s">
        <v>36</v>
      </c>
      <c r="J11" s="99"/>
      <c r="K11" s="17"/>
      <c r="L11" s="102"/>
      <c r="M11" s="103"/>
      <c r="N11" s="104"/>
      <c r="O11" s="8"/>
    </row>
    <row r="12" spans="1:19" s="12" customFormat="1">
      <c r="B12" s="74" t="s">
        <v>66</v>
      </c>
      <c r="C12" s="19"/>
      <c r="D12" s="19"/>
      <c r="E12" s="19"/>
      <c r="F12" s="19"/>
      <c r="H12" s="24"/>
      <c r="J12" s="19"/>
      <c r="S12" s="79"/>
    </row>
    <row r="13" spans="1:19" s="12" customFormat="1">
      <c r="A13" s="74"/>
      <c r="B13" s="80" t="s">
        <v>57</v>
      </c>
      <c r="C13" s="19"/>
      <c r="D13" s="19"/>
      <c r="E13" s="19"/>
      <c r="F13" s="19"/>
      <c r="H13" s="24"/>
      <c r="J13" s="19"/>
      <c r="S13" s="79"/>
    </row>
    <row r="14" spans="1:19" s="12" customFormat="1" ht="14.4" customHeight="1">
      <c r="A14" s="8"/>
      <c r="B14" s="9" t="s">
        <v>53</v>
      </c>
      <c r="C14" s="11"/>
      <c r="D14" s="11"/>
      <c r="E14" s="11"/>
      <c r="F14" s="11"/>
      <c r="G14" s="8"/>
      <c r="H14" s="8"/>
      <c r="I14" s="8"/>
      <c r="J14" s="11"/>
      <c r="K14" s="8"/>
      <c r="L14" s="8"/>
      <c r="M14" s="101" t="str">
        <f>IF(ISODD(HEX2DEC(LEFT(C15,2))),"","The T bit must be set to 1 to indicate an ISO number.")</f>
        <v/>
      </c>
      <c r="N14" s="101"/>
      <c r="O14" s="101"/>
      <c r="S14" s="79"/>
    </row>
    <row r="15" spans="1:19" s="12" customFormat="1" ht="14.4" customHeight="1">
      <c r="A15" s="8"/>
      <c r="B15" s="20" t="s">
        <v>44</v>
      </c>
      <c r="C15" s="75" t="s">
        <v>34</v>
      </c>
      <c r="D15" s="98" t="str">
        <f>_xlfn.CONCAT(IF(ISODD(HEX2DEC(LEFT(C15,2))),"T=1&gt;&gt;valid","T=0&gt;&gt;error")," | ",IF(RIGHT(C15,2)="AE","AFI=0xAE&gt;&gt;valid","AFI error"))</f>
        <v>T=1&gt;&gt;valid | AFI=0xAE&gt;&gt;valid</v>
      </c>
      <c r="E15" s="98"/>
      <c r="F15" s="98"/>
      <c r="G15" s="21"/>
      <c r="H15" s="22" t="s">
        <v>17</v>
      </c>
      <c r="I15" s="23">
        <f>IF(LEFT(HEX2BIN(LEFT(C16,2),8),1)="0",BIN2DEC(RIGHT(HEX2BIN(LEFT(C16,2),8),7)),
IF(LEFT(HEX2BIN(MID(C16,3,2),8),1)="0",128*BIN2DEC(RIGHT(HEX2BIN(LEFT(C16,2),8),7))+BIN2DEC(RIGHT(HEX2BIN(MID(C16,3,2),8),7)),
IF(LEFT(HEX2BIN(MID(C16,5,2),8),1)="0",128*128*BIN2DEC(RIGHT(HEX2BIN(LEFT(C16,2),8),7))+128*BIN2DEC(RIGHT(HEX2BIN(MID(C16,3,2),8),7))+BIN2DEC(RIGHT(HEX2BIN(MID(C16,5,2),8),7)),
IF(LEFT(HEX2BIN(MID(C16,7,2),8),1)="0",128*128*128*BIN2DEC(RIGHT(HEX2BIN(LEFT(C16,2),8),7))+128*128*BIN2DEC(RIGHT(HEX2BIN(MID(C16,3,2),8),7))+128*BIN2DEC(RIGHT(HEX2BIN(MID(C16,5,2),8),7))+BIN2DEC(RIGHT(HEX2BIN(MID(C16,7,2),8),7)),
"Error"))))</f>
        <v>166945479</v>
      </c>
      <c r="J15" s="22">
        <f>LEN(I15)</f>
        <v>9</v>
      </c>
      <c r="K15" s="46" t="s">
        <v>35</v>
      </c>
      <c r="L15" s="8"/>
      <c r="M15" s="101"/>
      <c r="N15" s="101"/>
      <c r="O15" s="101"/>
      <c r="S15" s="79"/>
    </row>
    <row r="16" spans="1:19" s="12" customFormat="1" ht="28.8" customHeight="1">
      <c r="A16" s="8"/>
      <c r="B16" s="24" t="s">
        <v>45</v>
      </c>
      <c r="C16" s="85" t="s">
        <v>59</v>
      </c>
      <c r="D16" s="85"/>
      <c r="E16" s="85"/>
      <c r="F16" s="85"/>
      <c r="G16" s="107" t="s">
        <v>47</v>
      </c>
      <c r="H16" s="107"/>
      <c r="I16" s="105" t="str">
        <f>MID(C16,J15+1,1000)</f>
        <v/>
      </c>
      <c r="J16" s="105"/>
      <c r="K16" s="105"/>
      <c r="L16" s="8"/>
      <c r="M16" s="100" t="str">
        <f>IF(RIGHT(C15,2)="AE","","The AFI must be set to 0xAE to indicate the RAIN Alliance number.")</f>
        <v/>
      </c>
      <c r="N16" s="100"/>
      <c r="O16" s="100"/>
    </row>
    <row r="17" spans="1:15" s="27" customFormat="1">
      <c r="A17" s="8"/>
      <c r="B17" s="66" t="s">
        <v>46</v>
      </c>
      <c r="C17" s="17"/>
      <c r="D17" s="25"/>
      <c r="E17" s="25"/>
      <c r="F17" s="25"/>
      <c r="G17" s="26"/>
      <c r="H17" s="26"/>
      <c r="I17" s="26"/>
      <c r="J17" s="26"/>
      <c r="K17" s="26"/>
      <c r="L17" s="8"/>
      <c r="M17" s="65"/>
      <c r="N17" s="65"/>
      <c r="O17" s="65"/>
    </row>
    <row r="18" spans="1:15" s="27" customFormat="1">
      <c r="C18" s="28"/>
      <c r="D18" s="29"/>
      <c r="E18" s="29"/>
      <c r="F18" s="29"/>
      <c r="G18" s="28"/>
      <c r="H18" s="28"/>
      <c r="I18" s="29"/>
      <c r="J18" s="29"/>
      <c r="K18" s="29"/>
    </row>
    <row r="19" spans="1:15" s="12" customFormat="1">
      <c r="A19" s="8"/>
      <c r="B19" s="9" t="s">
        <v>43</v>
      </c>
      <c r="C19" s="11"/>
      <c r="D19" s="11"/>
      <c r="E19" s="11"/>
      <c r="F19" s="11"/>
      <c r="G19" s="8"/>
      <c r="H19" s="8"/>
      <c r="I19" s="8"/>
      <c r="J19" s="11"/>
      <c r="K19" s="8"/>
      <c r="L19" s="8"/>
      <c r="M19" s="8"/>
      <c r="N19" s="8"/>
      <c r="O19" s="8"/>
    </row>
    <row r="20" spans="1:15" s="12" customFormat="1">
      <c r="A20" s="8"/>
      <c r="B20" s="30" t="s">
        <v>0</v>
      </c>
      <c r="C20" s="106" t="s">
        <v>1</v>
      </c>
      <c r="D20" s="106"/>
      <c r="E20" s="106"/>
      <c r="F20" s="106"/>
      <c r="G20" s="60" t="s">
        <v>41</v>
      </c>
      <c r="H20" s="62" t="s">
        <v>42</v>
      </c>
      <c r="I20" s="47"/>
      <c r="J20" s="47"/>
      <c r="K20" s="47"/>
      <c r="L20" s="53"/>
      <c r="M20" s="31" t="s">
        <v>39</v>
      </c>
      <c r="N20" s="31"/>
      <c r="O20" s="8"/>
    </row>
    <row r="21" spans="1:15" s="12" customFormat="1">
      <c r="A21" s="8"/>
      <c r="B21" s="59">
        <v>1</v>
      </c>
      <c r="C21" s="57"/>
      <c r="D21" s="57"/>
      <c r="E21" s="57"/>
      <c r="F21" s="57" t="str">
        <f>DEC2BIN(B21,7)</f>
        <v>0000001</v>
      </c>
      <c r="G21" s="108" t="s">
        <v>67</v>
      </c>
      <c r="H21" s="57" t="str">
        <f>CONCATENATE("0",F21)</f>
        <v>00000001</v>
      </c>
      <c r="I21" s="57"/>
      <c r="J21" s="57"/>
      <c r="K21" s="57"/>
      <c r="L21" s="58" t="s">
        <v>40</v>
      </c>
      <c r="M21" s="51" t="str">
        <f>BIN2HEX(H21,2)</f>
        <v>01</v>
      </c>
      <c r="N21" s="55" t="s">
        <v>60</v>
      </c>
      <c r="O21" s="8"/>
    </row>
    <row r="22" spans="1:15" s="12" customFormat="1">
      <c r="A22" s="8"/>
      <c r="B22" s="76">
        <v>34</v>
      </c>
      <c r="C22" s="57"/>
      <c r="D22" s="57"/>
      <c r="E22" s="57"/>
      <c r="F22" s="57" t="str">
        <f t="shared" ref="F22:F23" si="0">DEC2BIN(B22,7)</f>
        <v>0100010</v>
      </c>
      <c r="G22" s="108"/>
      <c r="H22" s="57" t="str">
        <f t="shared" ref="H22:H23" si="1">CONCATENATE("0",F22)</f>
        <v>00100010</v>
      </c>
      <c r="I22" s="57"/>
      <c r="J22" s="57"/>
      <c r="K22" s="57"/>
      <c r="L22" s="58" t="s">
        <v>40</v>
      </c>
      <c r="M22" s="51" t="str">
        <f t="shared" ref="M22:M23" si="2">BIN2HEX(H22,2)</f>
        <v>22</v>
      </c>
      <c r="N22" s="55" t="s">
        <v>60</v>
      </c>
      <c r="O22" s="8"/>
    </row>
    <row r="23" spans="1:15" s="12" customFormat="1">
      <c r="A23" s="8"/>
      <c r="B23" s="49">
        <v>127</v>
      </c>
      <c r="C23" s="50"/>
      <c r="D23" s="50"/>
      <c r="E23" s="50"/>
      <c r="F23" s="50" t="str">
        <f t="shared" si="0"/>
        <v>1111111</v>
      </c>
      <c r="G23" s="108"/>
      <c r="H23" s="50" t="str">
        <f t="shared" si="1"/>
        <v>01111111</v>
      </c>
      <c r="I23" s="50"/>
      <c r="J23" s="50"/>
      <c r="K23" s="50"/>
      <c r="L23" s="54" t="s">
        <v>40</v>
      </c>
      <c r="M23" s="52" t="str">
        <f t="shared" si="2"/>
        <v>7F</v>
      </c>
      <c r="N23" s="56" t="s">
        <v>60</v>
      </c>
      <c r="O23" s="8"/>
    </row>
    <row r="24" spans="1:15" s="12" customFormat="1">
      <c r="A24" s="8"/>
      <c r="B24" s="59">
        <v>128</v>
      </c>
      <c r="C24" s="57"/>
      <c r="D24" s="57"/>
      <c r="E24" s="57" t="str">
        <f>DEC2BIN(MOD(INT(B24/128),128),7)</f>
        <v>0000001</v>
      </c>
      <c r="F24" s="57" t="str">
        <f t="shared" ref="F24:F30" si="3">DEC2BIN(MOD(B24,128),7)</f>
        <v>0000000</v>
      </c>
      <c r="G24" s="108"/>
      <c r="H24" s="57" t="str">
        <f>CONCATENATE("1",E24)</f>
        <v>10000001</v>
      </c>
      <c r="I24" s="57" t="str">
        <f>CONCATENATE("0",F24)</f>
        <v>00000000</v>
      </c>
      <c r="J24" s="57"/>
      <c r="K24" s="57"/>
      <c r="L24" s="58" t="s">
        <v>40</v>
      </c>
      <c r="M24" s="51" t="str">
        <f>CONCATENATE(BIN2HEX(H24,2),BIN2HEX(I24,2))</f>
        <v>8100</v>
      </c>
      <c r="N24" s="55" t="s">
        <v>61</v>
      </c>
      <c r="O24" s="8"/>
    </row>
    <row r="25" spans="1:15" s="12" customFormat="1">
      <c r="A25" s="8"/>
      <c r="B25" s="76">
        <v>1234</v>
      </c>
      <c r="C25" s="57"/>
      <c r="D25" s="57"/>
      <c r="E25" s="57" t="str">
        <f t="shared" ref="E25:E32" si="4">DEC2BIN(MOD(INT(B25/128),128),7)</f>
        <v>0001001</v>
      </c>
      <c r="F25" s="57" t="str">
        <f t="shared" ref="F25:F26" si="5">DEC2BIN(MOD(B25,128),7)</f>
        <v>1010010</v>
      </c>
      <c r="G25" s="108"/>
      <c r="H25" s="57" t="str">
        <f t="shared" ref="H25:H26" si="6">CONCATENATE("1",E25)</f>
        <v>10001001</v>
      </c>
      <c r="I25" s="57" t="str">
        <f t="shared" ref="I25:I26" si="7">CONCATENATE("0",F25)</f>
        <v>01010010</v>
      </c>
      <c r="J25" s="57"/>
      <c r="K25" s="57"/>
      <c r="L25" s="58" t="s">
        <v>40</v>
      </c>
      <c r="M25" s="51" t="str">
        <f t="shared" ref="M25:M26" si="8">CONCATENATE(BIN2HEX(H25,2),BIN2HEX(I25,2))</f>
        <v>8952</v>
      </c>
      <c r="N25" s="55" t="s">
        <v>61</v>
      </c>
      <c r="O25" s="8"/>
    </row>
    <row r="26" spans="1:15" s="12" customFormat="1">
      <c r="A26" s="8"/>
      <c r="B26" s="49">
        <v>16383</v>
      </c>
      <c r="C26" s="50"/>
      <c r="D26" s="50"/>
      <c r="E26" s="50" t="str">
        <f t="shared" si="4"/>
        <v>1111111</v>
      </c>
      <c r="F26" s="50" t="str">
        <f t="shared" si="5"/>
        <v>1111111</v>
      </c>
      <c r="G26" s="108"/>
      <c r="H26" s="50" t="str">
        <f t="shared" si="6"/>
        <v>11111111</v>
      </c>
      <c r="I26" s="50" t="str">
        <f t="shared" si="7"/>
        <v>01111111</v>
      </c>
      <c r="J26" s="50"/>
      <c r="K26" s="50"/>
      <c r="L26" s="54" t="s">
        <v>40</v>
      </c>
      <c r="M26" s="52" t="str">
        <f t="shared" si="8"/>
        <v>FF7F</v>
      </c>
      <c r="N26" s="56" t="s">
        <v>61</v>
      </c>
      <c r="O26" s="8"/>
    </row>
    <row r="27" spans="1:15" s="12" customFormat="1">
      <c r="A27" s="8"/>
      <c r="B27" s="59">
        <v>16384</v>
      </c>
      <c r="C27" s="57"/>
      <c r="D27" s="57" t="str">
        <f>DEC2BIN(MOD(INT(B27/128/128),128),7)</f>
        <v>0000001</v>
      </c>
      <c r="E27" s="57" t="str">
        <f t="shared" si="4"/>
        <v>0000000</v>
      </c>
      <c r="F27" s="57" t="str">
        <f t="shared" si="3"/>
        <v>0000000</v>
      </c>
      <c r="G27" s="108"/>
      <c r="H27" s="57" t="str">
        <f>CONCATENATE("1",D27)</f>
        <v>10000001</v>
      </c>
      <c r="I27" s="57" t="str">
        <f>CONCATENATE("1",E27)</f>
        <v>10000000</v>
      </c>
      <c r="J27" s="57" t="str">
        <f>CONCATENATE("0",F27)</f>
        <v>00000000</v>
      </c>
      <c r="K27" s="57"/>
      <c r="L27" s="58" t="s">
        <v>40</v>
      </c>
      <c r="M27" s="51" t="str">
        <f>CONCATENATE(BIN2HEX(H27,2),BIN2HEX(I27,2),BIN2HEX(J27,2))</f>
        <v>818000</v>
      </c>
      <c r="N27" s="55" t="s">
        <v>62</v>
      </c>
      <c r="O27" s="8"/>
    </row>
    <row r="28" spans="1:15" s="12" customFormat="1">
      <c r="A28" s="8"/>
      <c r="B28" s="76">
        <v>469923</v>
      </c>
      <c r="C28" s="57"/>
      <c r="D28" s="57" t="str">
        <f t="shared" ref="D28:D32" si="9">DEC2BIN(MOD(INT(B28/128/128),128),7)</f>
        <v>0011100</v>
      </c>
      <c r="E28" s="57" t="str">
        <f t="shared" si="4"/>
        <v>1010111</v>
      </c>
      <c r="F28" s="57" t="str">
        <f t="shared" si="3"/>
        <v>0100011</v>
      </c>
      <c r="G28" s="108"/>
      <c r="H28" s="57" t="str">
        <f t="shared" ref="H28:H29" si="10">CONCATENATE("1",D28)</f>
        <v>10011100</v>
      </c>
      <c r="I28" s="57" t="str">
        <f t="shared" ref="I28:I29" si="11">CONCATENATE("1",E28)</f>
        <v>11010111</v>
      </c>
      <c r="J28" s="57" t="str">
        <f t="shared" ref="J28:J29" si="12">CONCATENATE("0",F28)</f>
        <v>00100011</v>
      </c>
      <c r="K28" s="57"/>
      <c r="L28" s="58" t="s">
        <v>40</v>
      </c>
      <c r="M28" s="51" t="str">
        <f t="shared" ref="M28:M29" si="13">CONCATENATE(BIN2HEX(H28,2),BIN2HEX(I28,2),BIN2HEX(J28,2))</f>
        <v>9CD723</v>
      </c>
      <c r="N28" s="55" t="s">
        <v>62</v>
      </c>
      <c r="O28" s="8"/>
    </row>
    <row r="29" spans="1:15" s="12" customFormat="1">
      <c r="A29" s="8"/>
      <c r="B29" s="49">
        <v>2097151</v>
      </c>
      <c r="C29" s="50"/>
      <c r="D29" s="50" t="str">
        <f t="shared" si="9"/>
        <v>1111111</v>
      </c>
      <c r="E29" s="50" t="str">
        <f t="shared" si="4"/>
        <v>1111111</v>
      </c>
      <c r="F29" s="50" t="str">
        <f t="shared" si="3"/>
        <v>1111111</v>
      </c>
      <c r="G29" s="108"/>
      <c r="H29" s="50" t="str">
        <f t="shared" si="10"/>
        <v>11111111</v>
      </c>
      <c r="I29" s="50" t="str">
        <f t="shared" si="11"/>
        <v>11111111</v>
      </c>
      <c r="J29" s="50" t="str">
        <f t="shared" si="12"/>
        <v>01111111</v>
      </c>
      <c r="K29" s="50"/>
      <c r="L29" s="54" t="s">
        <v>40</v>
      </c>
      <c r="M29" s="52" t="str">
        <f t="shared" si="13"/>
        <v>FFFF7F</v>
      </c>
      <c r="N29" s="56" t="s">
        <v>62</v>
      </c>
      <c r="O29" s="8"/>
    </row>
    <row r="30" spans="1:15" s="12" customFormat="1">
      <c r="A30" s="8"/>
      <c r="B30" s="59">
        <v>2097152</v>
      </c>
      <c r="C30" s="57" t="str">
        <f>DEC2BIN(MOD(INT(B30/128/128/128),128),7)</f>
        <v>0000001</v>
      </c>
      <c r="D30" s="57" t="str">
        <f t="shared" si="9"/>
        <v>0000000</v>
      </c>
      <c r="E30" s="57" t="str">
        <f t="shared" si="4"/>
        <v>0000000</v>
      </c>
      <c r="F30" s="57" t="str">
        <f t="shared" si="3"/>
        <v>0000000</v>
      </c>
      <c r="G30" s="108"/>
      <c r="H30" s="57" t="str">
        <f>CONCATENATE("1",C30)</f>
        <v>10000001</v>
      </c>
      <c r="I30" s="57" t="str">
        <f>CONCATENATE("1",D30)</f>
        <v>10000000</v>
      </c>
      <c r="J30" s="57" t="str">
        <f>CONCATENATE("1",E30)</f>
        <v>10000000</v>
      </c>
      <c r="K30" s="57" t="str">
        <f>CONCATENATE("0",F30)</f>
        <v>00000000</v>
      </c>
      <c r="L30" s="58" t="s">
        <v>40</v>
      </c>
      <c r="M30" s="51" t="str">
        <f>CONCATENATE(BIN2HEX(H30,2),BIN2HEX(I30,2),BIN2HEX(J30,2),BIN2HEX(K30,2))</f>
        <v>81808000</v>
      </c>
      <c r="N30" s="55" t="s">
        <v>63</v>
      </c>
      <c r="O30" s="8"/>
    </row>
    <row r="31" spans="1:15" s="12" customFormat="1">
      <c r="A31" s="8"/>
      <c r="B31" s="76">
        <v>10000000</v>
      </c>
      <c r="C31" s="57" t="str">
        <f t="shared" ref="C31:C32" si="14">DEC2BIN(MOD(INT(B31/128/128/128),128),7)</f>
        <v>0000100</v>
      </c>
      <c r="D31" s="57" t="str">
        <f t="shared" si="9"/>
        <v>1100010</v>
      </c>
      <c r="E31" s="57" t="str">
        <f t="shared" si="4"/>
        <v>0101101</v>
      </c>
      <c r="F31" s="57" t="str">
        <f t="shared" ref="F31:F32" si="15">DEC2BIN(MOD(B31,128),7)</f>
        <v>0000000</v>
      </c>
      <c r="G31" s="108"/>
      <c r="H31" s="57" t="str">
        <f t="shared" ref="H31:J32" si="16">CONCATENATE("1",C31)</f>
        <v>10000100</v>
      </c>
      <c r="I31" s="57" t="str">
        <f t="shared" si="16"/>
        <v>11100010</v>
      </c>
      <c r="J31" s="57" t="str">
        <f t="shared" si="16"/>
        <v>10101101</v>
      </c>
      <c r="K31" s="57" t="str">
        <f t="shared" ref="K31:K32" si="17">CONCATENATE("0",F31)</f>
        <v>00000000</v>
      </c>
      <c r="L31" s="58" t="s">
        <v>40</v>
      </c>
      <c r="M31" s="51" t="str">
        <f t="shared" ref="M31:M32" si="18">CONCATENATE(BIN2HEX(H31,2),BIN2HEX(I31,2),BIN2HEX(J31,2),BIN2HEX(K31,2))</f>
        <v>84E2AD00</v>
      </c>
      <c r="N31" s="55" t="s">
        <v>63</v>
      </c>
      <c r="O31" s="8"/>
    </row>
    <row r="32" spans="1:15" s="12" customFormat="1">
      <c r="A32" s="8"/>
      <c r="B32" s="59">
        <v>268435455</v>
      </c>
      <c r="C32" s="57" t="str">
        <f t="shared" si="14"/>
        <v>1111111</v>
      </c>
      <c r="D32" s="57" t="str">
        <f t="shared" si="9"/>
        <v>1111111</v>
      </c>
      <c r="E32" s="57" t="str">
        <f t="shared" si="4"/>
        <v>1111111</v>
      </c>
      <c r="F32" s="57" t="str">
        <f t="shared" si="15"/>
        <v>1111111</v>
      </c>
      <c r="G32" s="108"/>
      <c r="H32" s="57" t="str">
        <f t="shared" si="16"/>
        <v>11111111</v>
      </c>
      <c r="I32" s="57" t="str">
        <f t="shared" si="16"/>
        <v>11111111</v>
      </c>
      <c r="J32" s="57" t="str">
        <f t="shared" si="16"/>
        <v>11111111</v>
      </c>
      <c r="K32" s="57" t="str">
        <f t="shared" si="17"/>
        <v>01111111</v>
      </c>
      <c r="L32" s="58" t="s">
        <v>40</v>
      </c>
      <c r="M32" s="51" t="str">
        <f t="shared" si="18"/>
        <v>FFFFFF7F</v>
      </c>
      <c r="N32" s="55" t="s">
        <v>63</v>
      </c>
      <c r="O32" s="8"/>
    </row>
    <row r="33" spans="1:15" s="12" customFormat="1">
      <c r="A33" s="8"/>
      <c r="B33" s="8"/>
      <c r="C33" s="11"/>
      <c r="D33" s="11"/>
      <c r="E33" s="11"/>
      <c r="F33" s="11"/>
      <c r="G33" s="8"/>
      <c r="H33" s="8"/>
      <c r="I33" s="8"/>
      <c r="J33" s="11"/>
      <c r="K33" s="8"/>
      <c r="L33" s="8"/>
      <c r="M33" s="8"/>
      <c r="N33" s="8"/>
      <c r="O33" s="8"/>
    </row>
    <row r="35" spans="1:15">
      <c r="D35" s="4"/>
      <c r="E35" s="4"/>
      <c r="F35" s="4"/>
    </row>
  </sheetData>
  <sheetProtection sheet="1" selectLockedCells="1"/>
  <mergeCells count="20">
    <mergeCell ref="C16:F16"/>
    <mergeCell ref="D15:F15"/>
    <mergeCell ref="I11:J11"/>
    <mergeCell ref="M16:O16"/>
    <mergeCell ref="G21:G32"/>
    <mergeCell ref="M14:O15"/>
    <mergeCell ref="L10:N11"/>
    <mergeCell ref="I16:K16"/>
    <mergeCell ref="C20:F20"/>
    <mergeCell ref="G16:H16"/>
    <mergeCell ref="G6:H6"/>
    <mergeCell ref="B3:G3"/>
    <mergeCell ref="H3:M3"/>
    <mergeCell ref="D9:F9"/>
    <mergeCell ref="L8:N9"/>
    <mergeCell ref="I7:J7"/>
    <mergeCell ref="I6:N6"/>
    <mergeCell ref="K7:N7"/>
    <mergeCell ref="I8:J8"/>
    <mergeCell ref="B9:C9"/>
  </mergeCells>
  <phoneticPr fontId="20" type="noConversion"/>
  <conditionalFormatting sqref="D15">
    <cfRule type="cellIs" dxfId="6" priority="6" operator="equal">
      <formula>"error"</formula>
    </cfRule>
    <cfRule type="containsText" dxfId="5" priority="7" operator="containsText" text="error">
      <formula>NOT(ISERROR(SEARCH("error",D15)))</formula>
    </cfRule>
  </conditionalFormatting>
  <conditionalFormatting sqref="M14">
    <cfRule type="cellIs" dxfId="4" priority="4" operator="equal">
      <formula>"error"</formula>
    </cfRule>
    <cfRule type="containsText" dxfId="3" priority="5" operator="containsText" text="error">
      <formula>NOT(ISERROR(SEARCH("error",M14)))</formula>
    </cfRule>
  </conditionalFormatting>
  <conditionalFormatting sqref="M16">
    <cfRule type="cellIs" dxfId="2" priority="2" operator="equal">
      <formula>"error"</formula>
    </cfRule>
    <cfRule type="containsText" dxfId="1" priority="3" operator="containsText" text="error">
      <formula>NOT(ISERROR(SEARCH("error",M16)))</formula>
    </cfRule>
  </conditionalFormatting>
  <conditionalFormatting sqref="M14:O15 M17:O17 M16">
    <cfRule type="containsText" dxfId="0" priority="1" operator="containsText" text="indicate">
      <formula>NOT(ISERROR(SEARCH("indicate",M14)))</formula>
    </cfRule>
  </conditionalFormatting>
  <dataValidations xWindow="75" yWindow="722" count="10">
    <dataValidation type="whole" allowBlank="1" showInputMessage="1" showErrorMessage="1" promptTitle="Number" prompt="2, 4, 6 or 8 digits" sqref="I15" xr:uid="{470A7695-CD05-47E7-A1B3-B547813894E8}">
      <formula1>10</formula1>
      <formula2>99999999</formula2>
    </dataValidation>
    <dataValidation allowBlank="1" showInputMessage="1" showErrorMessage="1" promptTitle="Hex value" prompt="0 to 9 and A to F._x000a_No separators." sqref="D9 I16 I18 C16 D17:D18" xr:uid="{FB0A62B0-54AA-42C7-9DFB-94249D2EF1EA}"/>
    <dataValidation type="list" allowBlank="1" showInputMessage="1" showErrorMessage="1" promptTitle="XPC Indicator bit" prompt="0 or 1_x000a_Default: 0" sqref="J10" xr:uid="{963EE341-EB31-4E15-830C-69562E1A69CF}">
      <formula1>"0,1"</formula1>
    </dataValidation>
    <dataValidation type="textLength" operator="equal" allowBlank="1" showInputMessage="1" showErrorMessage="1" promptTitle="4 hex chars" prompt="0 to 9 and A to F._x000a_No separators." sqref="C15" xr:uid="{FE7603BC-8773-4DE0-81F7-9BDC8CB28930}">
      <formula1>4</formula1>
    </dataValidation>
    <dataValidation type="textLength" allowBlank="1" showInputMessage="1" showErrorMessage="1" promptTitle="Number" prompt="A printable ASCII string of max 4 chars_x000a_" sqref="D10" xr:uid="{430FBA7D-B145-4401-A7F7-E6A8D999CDD5}">
      <formula1>1</formula1>
      <formula2>4</formula2>
    </dataValidation>
    <dataValidation type="list" allowBlank="1" showInputMessage="1" showErrorMessage="1" promptTitle="UserMem Indicator bit" prompt="0 or 1_x000a_Default: 0" sqref="I10" xr:uid="{B1BCD722-DEEF-421F-B107-40356A969C64}">
      <formula1>"0,1"</formula1>
    </dataValidation>
    <dataValidation type="whole" allowBlank="1" showInputMessage="1" showErrorMessage="1" promptTitle="4-digit class" prompt="128 to 16,383 encode into 2 bytes." sqref="B24:B26" xr:uid="{2D0C2C5A-B9DF-419E-B251-A3B79DFB78F8}">
      <formula1>128</formula1>
      <formula2>16383</formula2>
    </dataValidation>
    <dataValidation type="whole" allowBlank="1" showInputMessage="1" showErrorMessage="1" promptTitle="8-digit class" prompt="2,097,151 to 268,435,455 encode into 4 bytes." sqref="B30:B32" xr:uid="{66B8C8BB-65EA-47F3-B792-D6E6E1F43CE4}">
      <formula1>2097152</formula1>
      <formula2>268435455</formula2>
    </dataValidation>
    <dataValidation type="whole" allowBlank="1" showInputMessage="1" showErrorMessage="1" promptTitle="6-digit class" prompt="16,384 to 2,097,151 encode into 3 bytes." sqref="B27:B29" xr:uid="{F831ABD8-0CCA-4EB7-BF3A-5FD038D1E90D}">
      <formula1>16384</formula1>
      <formula2>2097151</formula2>
    </dataValidation>
    <dataValidation type="whole" allowBlank="1" showInputMessage="1" showErrorMessage="1" promptTitle="2-digit class" prompt="0 to 127 encode into 1 byte." sqref="B21:B23" xr:uid="{2E84E6D2-92B9-4A82-BCF5-7F15FA3BD7F3}">
      <formula1>0</formula1>
      <formula2>127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Bertus Pretorius</dc:creator>
  <cp:lastModifiedBy>Bertus Pretorius</cp:lastModifiedBy>
  <dcterms:created xsi:type="dcterms:W3CDTF">2015-06-05T18:17:20Z</dcterms:created>
  <dcterms:modified xsi:type="dcterms:W3CDTF">2022-05-17T19:50:45Z</dcterms:modified>
</cp:coreProperties>
</file>